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User\Desktop\СОМК\Торги\2023\конкурентные\ДГЗ\Охрана Ирбит\Документация по итогам эеспертизы\"/>
    </mc:Choice>
  </mc:AlternateContent>
  <xr:revisionPtr revIDLastSave="0" documentId="13_ncr:1_{A11EE0D2-B602-4537-ABE7-6293FED37E6C}" xr6:coauthVersionLast="45" xr6:coauthVersionMax="45" xr10:uidLastSave="{00000000-0000-0000-0000-000000000000}"/>
  <bookViews>
    <workbookView xWindow="-120" yWindow="-120" windowWidth="29040" windowHeight="15840" firstSheet="1" activeTab="1" xr2:uid="{00000000-000D-0000-FFFF-FFFF00000000}"/>
  </bookViews>
  <sheets>
    <sheet name="Обоснование выбора метода НМЦК" sheetId="2" r:id="rId1"/>
    <sheet name="Расчет НМЦК_24 ч_КТРУ 003" sheetId="3" r:id="rId2"/>
    <sheet name="Расчет НМЦК_сумма" sheetId="9" r:id="rId3"/>
    <sheet name="расчет за человеко-час" sheetId="10" r:id="rId4"/>
  </sheets>
  <definedNames>
    <definedName name="_xlnm.Print_Area" localSheetId="1">'Расчет НМЦК_24 ч_КТРУ 003'!$A$1:$F$16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 i="9" l="1"/>
  <c r="E14" i="3"/>
  <c r="K7" i="10"/>
  <c r="E8" i="3"/>
  <c r="E6" i="3" l="1"/>
  <c r="B12" i="2" l="1"/>
  <c r="K8" i="10" l="1"/>
  <c r="G14" i="10" s="1"/>
  <c r="F6" i="3"/>
  <c r="E7" i="3" l="1"/>
  <c r="F7" i="3" s="1"/>
  <c r="F14" i="3" l="1"/>
  <c r="E5" i="3" l="1"/>
  <c r="F5" i="3" s="1"/>
  <c r="F8" i="3" l="1"/>
  <c r="E9" i="3" s="1"/>
  <c r="F9" i="3" l="1"/>
  <c r="E10" i="3" s="1"/>
  <c r="F10" i="3" l="1"/>
  <c r="E11" i="3" s="1"/>
  <c r="F11" i="3" l="1"/>
  <c r="E12" i="3" s="1"/>
  <c r="F12" i="3" s="1"/>
  <c r="E13" i="3" l="1"/>
  <c r="F13" i="3" s="1"/>
  <c r="E15" i="3" s="1"/>
  <c r="F15" i="3" l="1"/>
  <c r="E16" i="3" s="1"/>
  <c r="F16" i="3" l="1"/>
  <c r="E5" i="9" s="1"/>
  <c r="E11" i="9" s="1"/>
  <c r="F11" i="9" l="1"/>
  <c r="E12" i="9" s="1"/>
  <c r="F12" i="9" s="1"/>
  <c r="F13" i="9" s="1"/>
  <c r="B9" i="2" s="1"/>
  <c r="I7" i="10" s="1"/>
  <c r="F5" i="9" l="1"/>
</calcChain>
</file>

<file path=xl/sharedStrings.xml><?xml version="1.0" encoding="utf-8"?>
<sst xmlns="http://schemas.openxmlformats.org/spreadsheetml/2006/main" count="100" uniqueCount="76">
  <si>
    <t>№ п/п</t>
  </si>
  <si>
    <t>Наименование показателя</t>
  </si>
  <si>
    <t>Значение</t>
  </si>
  <si>
    <t>U-корректирующий коэффициент</t>
  </si>
  <si>
    <t>СВ - страховые взносы</t>
  </si>
  <si>
    <t>БЗП - базовая заработная плата работника (рублей/час)</t>
  </si>
  <si>
    <t>Дн - доплата за работу в ночное время</t>
  </si>
  <si>
    <t>20% - ПП РФ от 22 июля 2008 г. N 554 "О минимальном размере повышения оплаты труда за работу в ночное время"</t>
  </si>
  <si>
    <t>Двп - доплата за работу в выходные и праздничные дни</t>
  </si>
  <si>
    <t>РО - резерв на отпуск</t>
  </si>
  <si>
    <t>Си = (БЗП + Дн + Двп + Дрк + РО + СВ) * U</t>
  </si>
  <si>
    <t>КР - косвенные расходы</t>
  </si>
  <si>
    <t>П - прибыль</t>
  </si>
  <si>
    <t>НМЦК - начальная (максимальная) цена контракта</t>
  </si>
  <si>
    <t>НМЦК с учетом индекса</t>
  </si>
  <si>
    <t>ИТОГО НМЦК</t>
  </si>
  <si>
    <t xml:space="preserve">Обоснование начальной (максимальной) цены контракта </t>
  </si>
  <si>
    <t>Показатель</t>
  </si>
  <si>
    <t>Значение показателя</t>
  </si>
  <si>
    <t>Метод определения начальной (максимальной) цены контракта (далее - НМЦК)</t>
  </si>
  <si>
    <t>Иной метод</t>
  </si>
  <si>
    <t xml:space="preserve">Обоснование невозможности применения методов обоснования НМЦК, указанных в части 1 статьи 22 Федерального закона от 05.04.2013 N 44-ФЗ "О контрактной системе в сфере закупок товаров, работ, услуг для обеспечения государственных и муниципальных нужд" (далее - Закон)
</t>
  </si>
  <si>
    <t>НМЦК, руб.*</t>
  </si>
  <si>
    <t>1. Обоснование выбора метода определения НМЦК</t>
  </si>
  <si>
    <t>2. Расчет НМЦК</t>
  </si>
  <si>
    <t xml:space="preserve">Расчетный уровень НМЦК согласно Приказу за весь срок действия контракта, руб. </t>
  </si>
  <si>
    <t xml:space="preserve">Дрк - доплата за районный коэффициент </t>
  </si>
  <si>
    <t>Ки - количество часов работы работника по контракту на и-ом посту охраны</t>
  </si>
  <si>
    <t>Формула, источник данных</t>
  </si>
  <si>
    <t>СВ = (БЗП + Дн + Двп + Дрк + РО) * Y
Y - ставка страховых взносов 30,2%</t>
  </si>
  <si>
    <t>U = Uб + Uд1 + Uд2 + Uд3 + Uд4 + Uд5
Uб - пост охраны в составе одного работника с режимом работы 24 часа = 1
Uд1 - наличие спецсредств у работника = 0,05
Uд2 - охрана объектов и (или) имущества, а также обеспечение внутриобъектового и пропускного режимов на объектах, в отношении которых установлены обязательные для выполнения требования к антитеррористической защищенности = 0,1</t>
  </si>
  <si>
    <t>Заказчик:</t>
  </si>
  <si>
    <t>НДС</t>
  </si>
  <si>
    <t>20% - п. 3 ст. 164 Налогового кодекса РФ</t>
  </si>
  <si>
    <t>Единица измерения</t>
  </si>
  <si>
    <t>руб.</t>
  </si>
  <si>
    <t>час</t>
  </si>
  <si>
    <t>усл. ед.</t>
  </si>
  <si>
    <t>Значение с округлением до 2-х знаков 
(за искл. ИПЦ)</t>
  </si>
  <si>
    <r>
      <rPr>
        <sz val="12"/>
        <rFont val="Times New Roman"/>
        <family val="1"/>
        <charset val="204"/>
      </rPr>
      <t xml:space="preserve">В соответствии с частью 22 статьи 22 Закона, а также постановлением Правительства РФ от 08.05.2020 № 645 "О федеральном органе исполнительной власти, уполномоченном на установление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охранных услуг", порядок определения НМЦК на осуществление закупок охранных услуг устанавливается Федеральной службой войск национальной гвардии Российской Федерации. В целях реализации вышеуказанных полномочий утвержден приказ Росгвардии от 15.02.2021 N 45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охранных услуг" (далее - Приказ). Расчет НМЦК произведен согласно требований Приказа. 
</t>
    </r>
    <r>
      <rPr>
        <sz val="12"/>
        <color theme="1"/>
        <rFont val="Times New Roman"/>
        <family val="1"/>
        <charset val="204"/>
      </rPr>
      <t xml:space="preserve">
</t>
    </r>
  </si>
  <si>
    <t>итого</t>
  </si>
  <si>
    <t>руб. (без индекса и без НДС)</t>
  </si>
  <si>
    <t xml:space="preserve">Объем денежных средств, определенный ПФХД на оказание охранных услуг </t>
  </si>
  <si>
    <t xml:space="preserve">Таблица расчета начальной (максимальной) цены контракта    </t>
  </si>
  <si>
    <t>Начальная (максимальная) цена контракта определена посредством затратного метода в соответствии с приказом Федеральной службы войск национальной гвардии РФ от 15 февраля 2021 г. № 45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охранных услуг», с учетом лимита финансирования Заказчиков.</t>
  </si>
  <si>
    <t>Наименование услуги</t>
  </si>
  <si>
    <t>Периодичность работы поста</t>
  </si>
  <si>
    <t>График работы поста (час)</t>
  </si>
  <si>
    <t>Количество постов охраны (пост)</t>
  </si>
  <si>
    <t xml:space="preserve">Количество </t>
  </si>
  <si>
    <t xml:space="preserve">Цена за единицу измерения с учетом лимита финансирования Заказчика , руб. </t>
  </si>
  <si>
    <t>Начальная (максимальная) цена контракта с учетом лимита финансирования Заказчика</t>
  </si>
  <si>
    <t>Услуги частной
охраны
(Выставление
постов охраны)</t>
  </si>
  <si>
    <t>Ежедневно</t>
  </si>
  <si>
    <t>Человеко-час</t>
  </si>
  <si>
    <t>Итого:</t>
  </si>
  <si>
    <t>рублей</t>
  </si>
  <si>
    <t xml:space="preserve">Итого: Начальная (максимальная) цена контракта составляет </t>
  </si>
  <si>
    <t>Цена за единицу измерения в соответствии с Приказом Росгвардии от 15.02.2021 № 45  (руб.)</t>
  </si>
  <si>
    <t>В размере не менее двойной дневной или часовой тарифной ставки - ст. 153 ТК РФ. Статьей 112 Трудового кодекса Российской Федерации в 2022 году установлены  нерабочие праздничные дни в количестве 14 дней. При охране объектов используется рабочая неделя с предоставлением выходных дней по скользяцему графику (доплата за выходные дни не произодится в соответствии со с т. 111 ТК РФ), поэтому для расчета учитываются только нерабочие праздничные дни. Данное положение регламентируется правилами внутреннего трудового  распорядка, а для работников, режим рабочего времени которых отличается от общих правил, установленных у данного работадателя - трудовым договором. (Статьи 57, 100, 189 ТК РФ Трудового кодекса РФ)</t>
  </si>
  <si>
    <t xml:space="preserve">Получатели бюджетных средств заключают и оплачивают контракты в пределах лимитов бюджетных обязательств на основании (статья 72 Бюджетного кодекса Российской Федерации). </t>
  </si>
  <si>
    <t>Iинфл2023</t>
  </si>
  <si>
    <t>Iинфл2024</t>
  </si>
  <si>
    <r>
      <t>С</t>
    </r>
    <r>
      <rPr>
        <b/>
        <vertAlign val="subscript"/>
        <sz val="11"/>
        <color theme="1"/>
        <rFont val="Liberation Serif"/>
        <charset val="204"/>
      </rPr>
      <t>И</t>
    </r>
    <r>
      <rPr>
        <b/>
        <sz val="11"/>
        <color theme="1"/>
        <rFont val="Liberation Serif"/>
        <charset val="204"/>
      </rPr>
      <t xml:space="preserve"> - прямые затраты</t>
    </r>
  </si>
  <si>
    <t>Для Краснотурьинска и Новоуральска 20%</t>
  </si>
  <si>
    <t xml:space="preserve">                                                                                                         в томчисле:</t>
  </si>
  <si>
    <t xml:space="preserve">                                                                                                в том числе:</t>
  </si>
  <si>
    <t>Постановление Госкомтруда СССР, Секретариата ВЦСПС от 02.07.1987 N 403/20-155 - 20%</t>
  </si>
  <si>
    <r>
      <t xml:space="preserve">БЗП = МРОТ/СНР
МРОТ - минимальный размер оплаты труда: </t>
    </r>
    <r>
      <rPr>
        <sz val="11"/>
        <color rgb="FFFF0000"/>
        <rFont val="Liberation Serif"/>
        <charset val="204"/>
      </rPr>
      <t xml:space="preserve">16242 </t>
    </r>
    <r>
      <rPr>
        <sz val="11"/>
        <color theme="1"/>
        <rFont val="Liberation Serif"/>
        <family val="1"/>
        <charset val="204"/>
      </rPr>
      <t xml:space="preserve">руб.
СНР -  среднемесячное количество рабочих часов одного работника поста охраны. Определяется по производственному календарю (для 40-часовой пятидневной рабочей недели) на 2023 год - 164,4 ч
</t>
    </r>
  </si>
  <si>
    <t>Iинфл2025</t>
  </si>
  <si>
    <t>Iинфл - индекс потребительских цен на прочие услуги, принимаемый в соответствии с публикуемыми Минэкономразвития России прогнозами социально-экономического развития Российской Федерации 
Iинфл рассчитывается как среднее арифметическое между индексами потребительских цен на каждый год срока действия контракта.
В случае если расчет НМЦК и начало срока действия контракта приходятся на один год, то для этого года срока действия контракта значение Iинфл принимается равным единице.
В соответствии с Прогнозом социально-экономического развития Российской Федерации на 2023 год и на плановый период 2024 и 2025 годов (опубликован на сайте МЭР РФ 28.09.2022):
Iинфл2023=1
Iинфл2024=1,052
Iинфл2025=1,034</t>
  </si>
  <si>
    <t xml:space="preserve">Оказание услуг по обеспечению комплекса мер, направленных на охрану объекта и имущества, размещённого на объекте, а также обеспечение внутриобъектового и пропускного режимов на объекте </t>
  </si>
  <si>
    <t>с 10.12.2023 по 01.12.2024 (2023 г. - 520 ч; 2024 г. - 8048 ч), в том числе:</t>
  </si>
  <si>
    <t>Iинфл с 10.12.2023 по 01.12.2024 (2023 г. - 520 ч; 2024 г. - 8048 ч)</t>
  </si>
  <si>
    <t>*  - в связи со значительным превышением расчетного уровня НМЦК (предусмотренного Приказом) над объемом финанасирования, Заказчиком принято решение об осуществлении закупки с уровнем НМЦК не превышающем объема финансирования услуг по охране, утвержденного ПФХД, на основании
п. 2 ст. 72 БК РФ контракты заключаются и оплачиваются в пределах лимитов бюджетного обязательства, расчетное значение понижающего коэффициента = 0,56425152667</t>
  </si>
  <si>
    <t>с 08.00 часов  10.12.2023 года до 08.00 часов 01.12.2024 г. Количество часов: 8568 чел/часов.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</si>
</sst>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0.00000"/>
    <numFmt numFmtId="166" formatCode="#,##0.0000"/>
    <numFmt numFmtId="167" formatCode="#,##0.00\ _₽"/>
    <numFmt numFmtId="168" formatCode="_-* #,##0_-;\-* #,##0_-;_-* &quot;-&quot;??_-;_-@_-"/>
    <numFmt numFmtId="169" formatCode="#,##0.00000000000000"/>
  </numFmts>
  <fonts count="23">
    <font>
      <sz val="11"/>
      <color theme="1"/>
      <name val="Calibri"/>
      <family val="2"/>
      <charset val="204"/>
      <scheme val="minor"/>
    </font>
    <font>
      <sz val="11"/>
      <color theme="1"/>
      <name val="Liberation Serif"/>
      <family val="1"/>
      <charset val="204"/>
    </font>
    <font>
      <b/>
      <sz val="11"/>
      <color theme="1"/>
      <name val="Liberation Serif"/>
      <family val="1"/>
      <charset val="204"/>
    </font>
    <font>
      <sz val="11"/>
      <color theme="1"/>
      <name val="Calibri"/>
      <family val="2"/>
      <scheme val="minor"/>
    </font>
    <font>
      <b/>
      <sz val="14"/>
      <color theme="1"/>
      <name val="Liberation Serif"/>
      <family val="1"/>
      <charset val="204"/>
    </font>
    <font>
      <sz val="10"/>
      <name val="Arial Cyr"/>
      <charset val="204"/>
    </font>
    <font>
      <sz val="12"/>
      <color theme="1"/>
      <name val="Times New Roman"/>
      <family val="2"/>
      <charset val="204"/>
    </font>
    <font>
      <sz val="11"/>
      <name val="Liberation Serif"/>
      <family val="1"/>
      <charset val="204"/>
    </font>
    <font>
      <b/>
      <sz val="12"/>
      <color theme="1"/>
      <name val="Times New Roman"/>
      <family val="1"/>
      <charset val="204"/>
    </font>
    <font>
      <sz val="12"/>
      <color theme="1"/>
      <name val="Times New Roman"/>
      <family val="1"/>
      <charset val="204"/>
    </font>
    <font>
      <sz val="12"/>
      <name val="Times New Roman"/>
      <family val="1"/>
      <charset val="204"/>
    </font>
    <font>
      <sz val="12"/>
      <color theme="1"/>
      <name val="Liberation Serif"/>
      <family val="1"/>
      <charset val="204"/>
    </font>
    <font>
      <sz val="10"/>
      <name val="Times New Roman"/>
      <family val="1"/>
      <charset val="204"/>
    </font>
    <font>
      <b/>
      <sz val="10"/>
      <name val="Times New Roman"/>
      <family val="1"/>
      <charset val="204"/>
    </font>
    <font>
      <sz val="10"/>
      <name val="Arial"/>
      <family val="2"/>
      <charset val="204"/>
    </font>
    <font>
      <sz val="11"/>
      <color theme="1"/>
      <name val="Times New Roman"/>
      <family val="1"/>
      <charset val="204"/>
    </font>
    <font>
      <sz val="11"/>
      <color indexed="8"/>
      <name val="Calibri"/>
      <family val="2"/>
      <charset val="204"/>
    </font>
    <font>
      <sz val="11"/>
      <color rgb="FFFF0000"/>
      <name val="Liberation Serif"/>
      <charset val="204"/>
    </font>
    <font>
      <b/>
      <sz val="11"/>
      <color theme="1"/>
      <name val="Liberation Serif"/>
      <charset val="204"/>
    </font>
    <font>
      <b/>
      <vertAlign val="subscript"/>
      <sz val="11"/>
      <color theme="1"/>
      <name val="Liberation Serif"/>
      <charset val="204"/>
    </font>
    <font>
      <i/>
      <sz val="11"/>
      <color theme="1"/>
      <name val="Liberation Serif"/>
      <charset val="204"/>
    </font>
    <font>
      <sz val="12"/>
      <color theme="1"/>
      <name val="Calibri"/>
      <family val="2"/>
      <charset val="204"/>
      <scheme val="minor"/>
    </font>
    <font>
      <b/>
      <sz val="12"/>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3" fillId="0" borderId="0"/>
    <xf numFmtId="0" fontId="5" fillId="0" borderId="0"/>
    <xf numFmtId="0" fontId="6" fillId="0" borderId="0"/>
    <xf numFmtId="0" fontId="14" fillId="0" borderId="0"/>
    <xf numFmtId="0" fontId="14" fillId="0" borderId="0"/>
    <xf numFmtId="0" fontId="16" fillId="0" borderId="0"/>
  </cellStyleXfs>
  <cellXfs count="108">
    <xf numFmtId="0" fontId="0" fillId="0" borderId="0" xfId="0"/>
    <xf numFmtId="0" fontId="1" fillId="0" borderId="1" xfId="0" applyFont="1" applyBorder="1"/>
    <xf numFmtId="0" fontId="1" fillId="0" borderId="0" xfId="0" applyFont="1"/>
    <xf numFmtId="0" fontId="2" fillId="0" borderId="1" xfId="0" applyFont="1" applyBorder="1" applyAlignment="1">
      <alignment horizontal="center" vertical="center"/>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xf numFmtId="0" fontId="4" fillId="0" borderId="0" xfId="1" applyFont="1" applyAlignment="1">
      <alignment horizontal="center" vertical="center"/>
    </xf>
    <xf numFmtId="0" fontId="1" fillId="0" borderId="1" xfId="0" applyFont="1" applyBorder="1" applyAlignment="1">
      <alignment horizontal="justify" vertical="center" wrapText="1"/>
    </xf>
    <xf numFmtId="165" fontId="1" fillId="0" borderId="1" xfId="0" applyNumberFormat="1" applyFont="1" applyBorder="1" applyAlignment="1">
      <alignment horizontal="right" vertical="center"/>
    </xf>
    <xf numFmtId="9" fontId="1"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0" fontId="8" fillId="0" borderId="1" xfId="1" applyFont="1" applyBorder="1" applyAlignment="1">
      <alignment horizontal="center" vertical="center"/>
    </xf>
    <xf numFmtId="0" fontId="9" fillId="0" borderId="0" xfId="0" applyFont="1"/>
    <xf numFmtId="0" fontId="8" fillId="0" borderId="0" xfId="1" applyFont="1" applyAlignment="1">
      <alignment horizontal="center" vertical="center"/>
    </xf>
    <xf numFmtId="0" fontId="8" fillId="0" borderId="1" xfId="1" applyFont="1" applyBorder="1" applyAlignment="1">
      <alignment horizontal="left" vertical="center"/>
    </xf>
    <xf numFmtId="0" fontId="9" fillId="0" borderId="1" xfId="1" applyFont="1" applyBorder="1" applyAlignment="1">
      <alignment horizontal="left" vertical="center" wrapText="1"/>
    </xf>
    <xf numFmtId="0" fontId="9" fillId="0" borderId="1" xfId="1" applyFont="1" applyBorder="1" applyAlignment="1">
      <alignment horizontal="left" vertical="center"/>
    </xf>
    <xf numFmtId="0" fontId="9" fillId="0" borderId="1" xfId="1" applyFont="1" applyBorder="1" applyAlignment="1">
      <alignment horizontal="left" vertical="top" wrapText="1"/>
    </xf>
    <xf numFmtId="0" fontId="9" fillId="2" borderId="1" xfId="0" applyFont="1" applyFill="1" applyBorder="1" applyAlignment="1">
      <alignment horizontal="left" vertical="center"/>
    </xf>
    <xf numFmtId="165" fontId="1" fillId="0" borderId="1" xfId="0" applyNumberFormat="1" applyFont="1" applyBorder="1" applyAlignment="1">
      <alignment horizontal="right" vertical="center" wrapText="1"/>
    </xf>
    <xf numFmtId="166" fontId="1" fillId="0" borderId="1" xfId="0" applyNumberFormat="1" applyFont="1" applyBorder="1" applyAlignment="1">
      <alignment horizontal="right" vertical="center" wrapText="1"/>
    </xf>
    <xf numFmtId="0" fontId="0" fillId="0" borderId="0" xfId="0" applyAlignment="1">
      <alignment vertical="top"/>
    </xf>
    <xf numFmtId="0" fontId="12" fillId="2"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0" fontId="12" fillId="0" borderId="0" xfId="0" applyFont="1" applyFill="1" applyAlignment="1">
      <alignment vertical="top" wrapText="1"/>
    </xf>
    <xf numFmtId="2" fontId="1" fillId="0" borderId="0" xfId="0" applyNumberFormat="1" applyFont="1"/>
    <xf numFmtId="165" fontId="1" fillId="0" borderId="1" xfId="0" applyNumberFormat="1"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right" vertical="center"/>
    </xf>
    <xf numFmtId="0" fontId="1" fillId="0" borderId="0" xfId="0" applyFont="1" applyFill="1"/>
    <xf numFmtId="0" fontId="1" fillId="0" borderId="1" xfId="0" applyFont="1" applyFill="1" applyBorder="1" applyAlignment="1">
      <alignment vertical="center"/>
    </xf>
    <xf numFmtId="165" fontId="1" fillId="0" borderId="1" xfId="0" applyNumberFormat="1" applyFont="1" applyFill="1" applyBorder="1" applyAlignment="1" applyProtection="1">
      <alignment vertical="center"/>
    </xf>
    <xf numFmtId="0" fontId="15" fillId="0" borderId="1" xfId="0" applyFont="1" applyFill="1" applyBorder="1" applyAlignment="1">
      <alignment horizontal="left" vertical="center" wrapText="1"/>
    </xf>
    <xf numFmtId="165" fontId="1" fillId="0" borderId="1" xfId="0" applyNumberFormat="1" applyFont="1" applyFill="1" applyBorder="1" applyAlignment="1">
      <alignment horizontal="right" vertical="center"/>
    </xf>
    <xf numFmtId="4" fontId="20" fillId="0"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xf>
    <xf numFmtId="4" fontId="18" fillId="0" borderId="1" xfId="0" applyNumberFormat="1" applyFont="1" applyFill="1" applyBorder="1" applyAlignment="1">
      <alignment horizontal="right" vertical="center"/>
    </xf>
    <xf numFmtId="165" fontId="7" fillId="0" borderId="1" xfId="0" applyNumberFormat="1" applyFont="1" applyBorder="1"/>
    <xf numFmtId="4" fontId="7" fillId="0" borderId="1" xfId="0" applyNumberFormat="1" applyFont="1" applyBorder="1" applyAlignment="1">
      <alignment horizontal="right" vertical="center"/>
    </xf>
    <xf numFmtId="165" fontId="7" fillId="0" borderId="1" xfId="0" applyNumberFormat="1" applyFont="1" applyBorder="1" applyAlignment="1">
      <alignment horizontal="right" vertical="center"/>
    </xf>
    <xf numFmtId="0" fontId="7" fillId="0" borderId="1" xfId="0" applyFont="1" applyFill="1" applyBorder="1" applyAlignment="1">
      <alignment horizontal="left" vertical="center" wrapText="1"/>
    </xf>
    <xf numFmtId="165" fontId="7" fillId="0" borderId="1" xfId="0" applyNumberFormat="1" applyFont="1" applyFill="1" applyBorder="1" applyAlignment="1">
      <alignment horizontal="right" vertical="center"/>
    </xf>
    <xf numFmtId="0" fontId="2" fillId="0" borderId="1" xfId="0" applyFont="1" applyFill="1" applyBorder="1" applyAlignment="1">
      <alignment horizontal="center" vertical="center"/>
    </xf>
    <xf numFmtId="0" fontId="1" fillId="0" borderId="0" xfId="0" applyFont="1" applyFill="1" applyAlignment="1">
      <alignment horizontal="center" vertical="center" wrapText="1"/>
    </xf>
    <xf numFmtId="0" fontId="18" fillId="0" borderId="1" xfId="0" applyFont="1" applyFill="1" applyBorder="1" applyAlignment="1">
      <alignment horizontal="left" vertical="center" wrapText="1"/>
    </xf>
    <xf numFmtId="0" fontId="18" fillId="0" borderId="0" xfId="0" applyFont="1" applyFill="1"/>
    <xf numFmtId="0" fontId="18" fillId="0" borderId="1" xfId="0" applyFont="1" applyFill="1" applyBorder="1" applyAlignment="1">
      <alignment horizontal="right"/>
    </xf>
    <xf numFmtId="0" fontId="18" fillId="0" borderId="1" xfId="0" applyFont="1" applyFill="1" applyBorder="1"/>
    <xf numFmtId="167" fontId="18" fillId="0" borderId="1" xfId="0" applyNumberFormat="1" applyFont="1" applyFill="1" applyBorder="1"/>
    <xf numFmtId="0" fontId="3" fillId="0" borderId="0" xfId="1" applyFill="1"/>
    <xf numFmtId="0" fontId="1" fillId="3" borderId="1" xfId="0" applyFont="1" applyFill="1" applyBorder="1" applyAlignment="1">
      <alignment horizontal="center" vertical="center"/>
    </xf>
    <xf numFmtId="0" fontId="20" fillId="3" borderId="1" xfId="0" applyFont="1" applyFill="1" applyBorder="1" applyAlignment="1">
      <alignment horizontal="left" vertical="center" wrapText="1"/>
    </xf>
    <xf numFmtId="165" fontId="20" fillId="3" borderId="1" xfId="0" applyNumberFormat="1" applyFont="1" applyFill="1" applyBorder="1" applyAlignment="1">
      <alignment horizontal="right" vertical="center"/>
    </xf>
    <xf numFmtId="0" fontId="1"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165" fontId="7" fillId="3" borderId="1" xfId="0" applyNumberFormat="1" applyFont="1" applyFill="1" applyBorder="1" applyAlignment="1" applyProtection="1">
      <alignment horizontal="right" vertical="center"/>
      <protection locked="0"/>
    </xf>
    <xf numFmtId="0" fontId="18" fillId="3" borderId="1" xfId="0" applyFont="1" applyFill="1" applyBorder="1" applyAlignment="1">
      <alignment horizontal="justify" vertical="center" wrapText="1"/>
    </xf>
    <xf numFmtId="165" fontId="18" fillId="3" borderId="1" xfId="0" applyNumberFormat="1" applyFont="1" applyFill="1" applyBorder="1" applyAlignment="1">
      <alignment horizontal="right" vertical="center" wrapText="1"/>
    </xf>
    <xf numFmtId="0" fontId="9" fillId="0" borderId="1" xfId="1" applyFont="1" applyFill="1" applyBorder="1" applyAlignment="1">
      <alignment horizontal="left" vertical="center" wrapText="1"/>
    </xf>
    <xf numFmtId="4" fontId="8" fillId="0" borderId="1" xfId="1" applyNumberFormat="1" applyFont="1" applyFill="1" applyBorder="1" applyAlignment="1">
      <alignment horizontal="right" vertical="center"/>
    </xf>
    <xf numFmtId="0" fontId="8" fillId="0" borderId="1" xfId="1" applyFont="1" applyFill="1" applyBorder="1" applyAlignment="1">
      <alignment horizontal="left" vertical="center" wrapText="1"/>
    </xf>
    <xf numFmtId="165" fontId="2" fillId="0" borderId="1" xfId="0" applyNumberFormat="1" applyFont="1" applyFill="1" applyBorder="1" applyAlignment="1">
      <alignment vertical="center"/>
    </xf>
    <xf numFmtId="4" fontId="2" fillId="0" borderId="1" xfId="0" applyNumberFormat="1" applyFont="1" applyFill="1" applyBorder="1" applyAlignment="1">
      <alignment horizontal="right" vertical="center"/>
    </xf>
    <xf numFmtId="0" fontId="21" fillId="0" borderId="0" xfId="0" applyFont="1" applyAlignment="1">
      <alignment vertical="top"/>
    </xf>
    <xf numFmtId="164" fontId="21" fillId="0" borderId="0" xfId="0" applyNumberFormat="1" applyFont="1" applyAlignment="1">
      <alignment vertical="top"/>
    </xf>
    <xf numFmtId="4" fontId="22" fillId="0" borderId="1" xfId="0" applyNumberFormat="1" applyFont="1" applyFill="1" applyBorder="1" applyAlignment="1">
      <alignment horizontal="center" vertical="top" wrapText="1"/>
    </xf>
    <xf numFmtId="168" fontId="10" fillId="0" borderId="1" xfId="0" applyNumberFormat="1" applyFont="1" applyFill="1" applyBorder="1" applyAlignment="1">
      <alignment horizontal="left" vertical="top" wrapText="1"/>
    </xf>
    <xf numFmtId="4" fontId="10" fillId="2" borderId="1" xfId="0" applyNumberFormat="1" applyFont="1" applyFill="1" applyBorder="1" applyAlignment="1">
      <alignment horizontal="center" vertical="top" wrapText="1"/>
    </xf>
    <xf numFmtId="4" fontId="10" fillId="3" borderId="1" xfId="0" applyNumberFormat="1" applyFont="1" applyFill="1" applyBorder="1" applyAlignment="1">
      <alignment horizontal="center" vertical="top" wrapText="1"/>
    </xf>
    <xf numFmtId="4" fontId="10" fillId="0" borderId="1" xfId="0" applyNumberFormat="1"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3" borderId="1" xfId="0" applyFont="1" applyFill="1" applyBorder="1" applyAlignment="1">
      <alignment horizontal="center" vertical="top" wrapText="1"/>
    </xf>
    <xf numFmtId="165" fontId="1" fillId="3" borderId="1" xfId="0" applyNumberFormat="1" applyFont="1" applyFill="1" applyBorder="1" applyAlignment="1">
      <alignment vertical="center"/>
    </xf>
    <xf numFmtId="169" fontId="1" fillId="0" borderId="0" xfId="0" applyNumberFormat="1" applyFont="1"/>
    <xf numFmtId="0" fontId="8" fillId="0" borderId="0" xfId="1" applyFont="1" applyAlignment="1">
      <alignment horizontal="center" vertical="center"/>
    </xf>
    <xf numFmtId="0" fontId="11" fillId="0" borderId="0" xfId="1" applyFont="1" applyFill="1" applyAlignment="1">
      <alignment horizontal="left" vertical="center" wrapText="1"/>
    </xf>
    <xf numFmtId="0" fontId="9" fillId="0" borderId="5" xfId="1" applyFont="1" applyFill="1" applyBorder="1" applyAlignment="1">
      <alignment horizontal="left" vertical="center" wrapText="1"/>
    </xf>
    <xf numFmtId="0" fontId="9" fillId="0" borderId="7" xfId="1" applyFont="1" applyFill="1" applyBorder="1" applyAlignment="1">
      <alignment horizontal="left" vertical="center" wrapText="1"/>
    </xf>
    <xf numFmtId="0" fontId="4" fillId="0" borderId="0" xfId="1" applyFont="1" applyFill="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0" xfId="1" applyFont="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4" fontId="13" fillId="0" borderId="2" xfId="0" applyNumberFormat="1" applyFont="1" applyFill="1" applyBorder="1" applyAlignment="1">
      <alignment horizontal="center" vertical="top" wrapText="1"/>
    </xf>
    <xf numFmtId="4" fontId="13" fillId="0" borderId="3" xfId="0" applyNumberFormat="1" applyFont="1" applyFill="1" applyBorder="1" applyAlignment="1">
      <alignment horizontal="center" vertical="top" wrapText="1"/>
    </xf>
    <xf numFmtId="0" fontId="12" fillId="0" borderId="5" xfId="0" applyFont="1" applyFill="1" applyBorder="1" applyAlignment="1">
      <alignment horizontal="center" vertical="top" wrapText="1"/>
    </xf>
    <xf numFmtId="0" fontId="12" fillId="0" borderId="7" xfId="0" applyFont="1" applyFill="1" applyBorder="1" applyAlignment="1">
      <alignment horizontal="center" vertical="top" wrapText="1"/>
    </xf>
    <xf numFmtId="4" fontId="21" fillId="0" borderId="0" xfId="0" applyNumberFormat="1" applyFont="1" applyAlignment="1">
      <alignment horizontal="center" vertical="top"/>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2" fillId="0" borderId="1" xfId="0" applyFont="1" applyFill="1" applyBorder="1" applyAlignment="1">
      <alignment horizontal="right" vertical="top" wrapText="1"/>
    </xf>
    <xf numFmtId="0" fontId="13"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6" xfId="0" applyFont="1" applyFill="1" applyBorder="1" applyAlignment="1">
      <alignment horizontal="center" vertical="top" wrapText="1"/>
    </xf>
    <xf numFmtId="0" fontId="13" fillId="2" borderId="7" xfId="0" applyFont="1" applyFill="1" applyBorder="1" applyAlignment="1">
      <alignment horizontal="center" vertical="top" wrapText="1"/>
    </xf>
    <xf numFmtId="0" fontId="13" fillId="0" borderId="2"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10" xfId="0" applyFont="1" applyFill="1" applyBorder="1" applyAlignment="1">
      <alignment horizontal="center" vertical="top" wrapText="1"/>
    </xf>
    <xf numFmtId="0" fontId="13" fillId="0" borderId="11" xfId="0" applyFont="1" applyFill="1" applyBorder="1" applyAlignment="1">
      <alignment horizontal="center" vertical="top" wrapText="1"/>
    </xf>
  </cellXfs>
  <cellStyles count="7">
    <cellStyle name="Excel Built-in Normal" xfId="6" xr:uid="{00000000-0005-0000-0000-000000000000}"/>
    <cellStyle name="Обычный" xfId="0" builtinId="0"/>
    <cellStyle name="Обычный 15" xfId="5" xr:uid="{00000000-0005-0000-0000-000002000000}"/>
    <cellStyle name="Обычный 17" xfId="4" xr:uid="{00000000-0005-0000-0000-000003000000}"/>
    <cellStyle name="Обычный 2" xfId="2" xr:uid="{00000000-0005-0000-0000-000004000000}"/>
    <cellStyle name="Обычный 3" xfId="1" xr:uid="{00000000-0005-0000-0000-000005000000}"/>
    <cellStyle name="Обычный 4" xfId="3" xr:uid="{00000000-0005-0000-0000-000006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2</xdr:col>
      <xdr:colOff>38100</xdr:colOff>
      <xdr:row>9</xdr:row>
      <xdr:rowOff>28575</xdr:rowOff>
    </xdr:from>
    <xdr:to>
      <xdr:col>2</xdr:col>
      <xdr:colOff>2678206</xdr:colOff>
      <xdr:row>9</xdr:row>
      <xdr:rowOff>533400</xdr:rowOff>
    </xdr:to>
    <xdr:pic>
      <xdr:nvPicPr>
        <xdr:cNvPr id="2" name="Рисунок 1" descr="base_1_383133_32772">
          <a:extLst>
            <a:ext uri="{FF2B5EF4-FFF2-40B4-BE49-F238E27FC236}">
              <a16:creationId xmlns:a16="http://schemas.microsoft.com/office/drawing/2014/main" id="{578027AE-04C7-48B9-B7CD-B377876EBFD3}"/>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1276" y="6023722"/>
          <a:ext cx="2640106"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177053</xdr:colOff>
      <xdr:row>12</xdr:row>
      <xdr:rowOff>57150</xdr:rowOff>
    </xdr:from>
    <xdr:to>
      <xdr:col>2</xdr:col>
      <xdr:colOff>2442883</xdr:colOff>
      <xdr:row>12</xdr:row>
      <xdr:rowOff>438149</xdr:rowOff>
    </xdr:to>
    <xdr:pic>
      <xdr:nvPicPr>
        <xdr:cNvPr id="3" name="Рисунок 2" descr="base_1_383133_32769">
          <a:extLst>
            <a:ext uri="{FF2B5EF4-FFF2-40B4-BE49-F238E27FC236}">
              <a16:creationId xmlns:a16="http://schemas.microsoft.com/office/drawing/2014/main" id="{EDA45275-93D8-4DA6-A8DE-10093B2B6437}"/>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0229" y="7217709"/>
          <a:ext cx="2265830"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1119</xdr:colOff>
      <xdr:row>14</xdr:row>
      <xdr:rowOff>44824</xdr:rowOff>
    </xdr:from>
    <xdr:to>
      <xdr:col>2</xdr:col>
      <xdr:colOff>2655794</xdr:colOff>
      <xdr:row>14</xdr:row>
      <xdr:rowOff>437030</xdr:rowOff>
    </xdr:to>
    <xdr:pic>
      <xdr:nvPicPr>
        <xdr:cNvPr id="4" name="Рисунок 3" descr="base_1_383133_32770">
          <a:extLst>
            <a:ext uri="{FF2B5EF4-FFF2-40B4-BE49-F238E27FC236}">
              <a16:creationId xmlns:a16="http://schemas.microsoft.com/office/drawing/2014/main" id="{B0E1B472-A45E-484F-A58B-0CCD9603907C}"/>
            </a:ext>
          </a:extLst>
        </xdr:cNvPr>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04295" y="8258736"/>
          <a:ext cx="2654675" cy="392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9524</xdr:colOff>
      <xdr:row>4</xdr:row>
      <xdr:rowOff>304799</xdr:rowOff>
    </xdr:from>
    <xdr:to>
      <xdr:col>2</xdr:col>
      <xdr:colOff>4648199</xdr:colOff>
      <xdr:row>4</xdr:row>
      <xdr:rowOff>962024</xdr:rowOff>
    </xdr:to>
    <xdr:pic>
      <xdr:nvPicPr>
        <xdr:cNvPr id="2" name="Рисунок 1" descr="base_1_383133_32768">
          <a:extLst>
            <a:ext uri="{FF2B5EF4-FFF2-40B4-BE49-F238E27FC236}">
              <a16:creationId xmlns:a16="http://schemas.microsoft.com/office/drawing/2014/main" id="{989C1691-4DDC-425C-80B6-AF4AFDB8ECD9}"/>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9424" y="1809749"/>
          <a:ext cx="46386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4"/>
  <sheetViews>
    <sheetView view="pageBreakPreview" zoomScale="85" zoomScaleNormal="85" zoomScaleSheetLayoutView="85" workbookViewId="0">
      <selection activeCell="A8" sqref="A8"/>
    </sheetView>
  </sheetViews>
  <sheetFormatPr defaultColWidth="9.140625" defaultRowHeight="15"/>
  <cols>
    <col min="1" max="1" width="68.5703125" style="2" customWidth="1"/>
    <col min="2" max="2" width="118.5703125" style="2" customWidth="1"/>
    <col min="3" max="3" width="17.5703125" style="2" customWidth="1"/>
    <col min="4" max="16384" width="9.140625" style="2"/>
  </cols>
  <sheetData>
    <row r="1" spans="1:5" ht="18.75">
      <c r="A1" s="78" t="s">
        <v>16</v>
      </c>
      <c r="B1" s="78"/>
      <c r="C1" s="9"/>
      <c r="D1" s="9"/>
      <c r="E1" s="9"/>
    </row>
    <row r="2" spans="1:5" ht="18.75">
      <c r="A2" s="15" t="s">
        <v>23</v>
      </c>
      <c r="B2" s="16"/>
      <c r="C2" s="9"/>
      <c r="D2" s="9"/>
      <c r="E2" s="9"/>
    </row>
    <row r="3" spans="1:5" ht="26.25" customHeight="1">
      <c r="A3" s="15"/>
      <c r="B3" s="15"/>
    </row>
    <row r="4" spans="1:5" ht="15.75">
      <c r="A4" s="17" t="s">
        <v>31</v>
      </c>
      <c r="B4" s="21"/>
    </row>
    <row r="5" spans="1:5" ht="15.75">
      <c r="A5" s="15"/>
      <c r="B5" s="15"/>
    </row>
    <row r="6" spans="1:5" ht="15.75">
      <c r="A6" s="14" t="s">
        <v>17</v>
      </c>
      <c r="B6" s="14" t="s">
        <v>18</v>
      </c>
    </row>
    <row r="7" spans="1:5" ht="44.25" customHeight="1">
      <c r="A7" s="18" t="s">
        <v>19</v>
      </c>
      <c r="B7" s="19" t="s">
        <v>20</v>
      </c>
    </row>
    <row r="8" spans="1:5" ht="167.25" customHeight="1">
      <c r="A8" s="20" t="s">
        <v>21</v>
      </c>
      <c r="B8" s="20" t="s">
        <v>39</v>
      </c>
    </row>
    <row r="9" spans="1:5" ht="45" customHeight="1">
      <c r="A9" s="62" t="s">
        <v>25</v>
      </c>
      <c r="B9" s="63">
        <f>'Расчет НМЦК_сумма'!F13*'расчет за человеко-час'!F7</f>
        <v>2767111.0645248001</v>
      </c>
    </row>
    <row r="10" spans="1:5" ht="45" customHeight="1">
      <c r="A10" s="62" t="s">
        <v>42</v>
      </c>
      <c r="B10" s="63">
        <v>1561413.38</v>
      </c>
      <c r="C10" s="77"/>
    </row>
    <row r="11" spans="1:5" ht="48.75" customHeight="1">
      <c r="A11" s="80" t="s">
        <v>60</v>
      </c>
      <c r="B11" s="81"/>
    </row>
    <row r="12" spans="1:5" ht="35.25" customHeight="1">
      <c r="A12" s="64" t="s">
        <v>22</v>
      </c>
      <c r="B12" s="63">
        <f>'расчет за человеко-час'!K7</f>
        <v>1561346.64</v>
      </c>
    </row>
    <row r="13" spans="1:5" ht="15.75">
      <c r="A13" s="15"/>
      <c r="B13" s="15"/>
    </row>
    <row r="14" spans="1:5" ht="49.5" customHeight="1">
      <c r="A14" s="79" t="s">
        <v>74</v>
      </c>
      <c r="B14" s="79"/>
    </row>
  </sheetData>
  <mergeCells count="3">
    <mergeCell ref="A1:B1"/>
    <mergeCell ref="A14:B14"/>
    <mergeCell ref="A11:B11"/>
  </mergeCells>
  <pageMargins left="0.2" right="0.2" top="0.18" bottom="0.17" header="0.17" footer="0.17"/>
  <pageSetup paperSize="9"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1"/>
  <sheetViews>
    <sheetView tabSelected="1" view="pageBreakPreview" zoomScale="85" zoomScaleNormal="85" zoomScaleSheetLayoutView="85" workbookViewId="0">
      <selection activeCell="H16" sqref="H16"/>
    </sheetView>
  </sheetViews>
  <sheetFormatPr defaultColWidth="9.140625" defaultRowHeight="15"/>
  <cols>
    <col min="1" max="1" width="7.28515625" style="33" customWidth="1"/>
    <col min="2" max="2" width="37.85546875" style="33" customWidth="1"/>
    <col min="3" max="3" width="73.85546875" style="33" customWidth="1"/>
    <col min="4" max="4" width="12.7109375" style="33" customWidth="1"/>
    <col min="5" max="5" width="18.85546875" style="33" customWidth="1"/>
    <col min="6" max="6" width="19.7109375" style="33" customWidth="1"/>
    <col min="7" max="16384" width="9.140625" style="33"/>
  </cols>
  <sheetData>
    <row r="1" spans="1:8" ht="18.75">
      <c r="A1" s="82" t="s">
        <v>16</v>
      </c>
      <c r="B1" s="82"/>
      <c r="C1" s="82"/>
      <c r="D1" s="82"/>
      <c r="E1" s="82"/>
      <c r="F1" s="82"/>
    </row>
    <row r="2" spans="1:8">
      <c r="A2" s="33" t="s">
        <v>24</v>
      </c>
    </row>
    <row r="4" spans="1:8" ht="69.75" customHeight="1">
      <c r="A4" s="46" t="s">
        <v>0</v>
      </c>
      <c r="B4" s="46" t="s">
        <v>1</v>
      </c>
      <c r="C4" s="46" t="s">
        <v>28</v>
      </c>
      <c r="D4" s="6" t="s">
        <v>34</v>
      </c>
      <c r="E4" s="6" t="s">
        <v>2</v>
      </c>
      <c r="F4" s="6" t="s">
        <v>38</v>
      </c>
      <c r="G4" s="47"/>
      <c r="H4" s="47"/>
    </row>
    <row r="5" spans="1:8" ht="109.5" customHeight="1">
      <c r="A5" s="30">
        <v>1</v>
      </c>
      <c r="B5" s="57" t="s">
        <v>3</v>
      </c>
      <c r="C5" s="57" t="s">
        <v>30</v>
      </c>
      <c r="D5" s="57" t="s">
        <v>37</v>
      </c>
      <c r="E5" s="76">
        <f>1+0.05+0.1</f>
        <v>1.1500000000000001</v>
      </c>
      <c r="F5" s="32">
        <f>ROUND(E5,2)</f>
        <v>1.1499999999999999</v>
      </c>
    </row>
    <row r="6" spans="1:8" ht="75" customHeight="1">
      <c r="A6" s="30">
        <v>2</v>
      </c>
      <c r="B6" s="31" t="s">
        <v>5</v>
      </c>
      <c r="C6" s="31" t="s">
        <v>68</v>
      </c>
      <c r="D6" s="31" t="s">
        <v>35</v>
      </c>
      <c r="E6" s="29">
        <f>16242/164.4</f>
        <v>98.795620437956202</v>
      </c>
      <c r="F6" s="32">
        <f>ROUND(E6,2)</f>
        <v>98.8</v>
      </c>
      <c r="H6" s="33">
        <v>13890</v>
      </c>
    </row>
    <row r="7" spans="1:8" ht="51.75" customHeight="1">
      <c r="A7" s="30">
        <v>3</v>
      </c>
      <c r="B7" s="34" t="s">
        <v>6</v>
      </c>
      <c r="C7" s="31" t="s">
        <v>7</v>
      </c>
      <c r="D7" s="31" t="s">
        <v>35</v>
      </c>
      <c r="E7" s="35">
        <f>F6*0.2/3</f>
        <v>6.5866666666666669</v>
      </c>
      <c r="F7" s="32">
        <f>ROUND(E7,2)</f>
        <v>6.59</v>
      </c>
    </row>
    <row r="8" spans="1:8" ht="165">
      <c r="A8" s="30">
        <v>4</v>
      </c>
      <c r="B8" s="31" t="s">
        <v>8</v>
      </c>
      <c r="C8" s="36" t="s">
        <v>59</v>
      </c>
      <c r="D8" s="31" t="s">
        <v>35</v>
      </c>
      <c r="E8" s="29">
        <f>F6*(14/366)</f>
        <v>3.7792349726775956</v>
      </c>
      <c r="F8" s="32">
        <f t="shared" ref="F8:F12" si="0">ROUND(E8,2)</f>
        <v>3.78</v>
      </c>
    </row>
    <row r="9" spans="1:8" ht="41.25" customHeight="1">
      <c r="A9" s="54">
        <v>5</v>
      </c>
      <c r="B9" s="55" t="s">
        <v>26</v>
      </c>
      <c r="C9" s="55" t="s">
        <v>67</v>
      </c>
      <c r="D9" s="55" t="s">
        <v>35</v>
      </c>
      <c r="E9" s="56">
        <f>(F6+F7+F8)*0.15</f>
        <v>16.375499999999999</v>
      </c>
      <c r="F9" s="38">
        <f t="shared" si="0"/>
        <v>16.38</v>
      </c>
      <c r="G9" s="33" t="s">
        <v>64</v>
      </c>
    </row>
    <row r="10" spans="1:8" ht="44.25" customHeight="1">
      <c r="A10" s="30">
        <v>6</v>
      </c>
      <c r="B10" s="31" t="s">
        <v>9</v>
      </c>
      <c r="C10" s="31"/>
      <c r="D10" s="31" t="s">
        <v>35</v>
      </c>
      <c r="E10" s="37">
        <f>(F6+F7+F8+F9)/12</f>
        <v>10.4625</v>
      </c>
      <c r="F10" s="32">
        <f t="shared" si="0"/>
        <v>10.46</v>
      </c>
    </row>
    <row r="11" spans="1:8" ht="30">
      <c r="A11" s="30">
        <v>7</v>
      </c>
      <c r="B11" s="31" t="s">
        <v>4</v>
      </c>
      <c r="C11" s="31" t="s">
        <v>29</v>
      </c>
      <c r="D11" s="31" t="s">
        <v>35</v>
      </c>
      <c r="E11" s="37">
        <f>(F6+F7+F8+F9+F10)*0.302</f>
        <v>41.075019999999995</v>
      </c>
      <c r="F11" s="32">
        <f t="shared" si="0"/>
        <v>41.08</v>
      </c>
    </row>
    <row r="12" spans="1:8" ht="18" customHeight="1">
      <c r="A12" s="30">
        <v>8</v>
      </c>
      <c r="B12" s="48" t="s">
        <v>63</v>
      </c>
      <c r="C12" s="31" t="s">
        <v>10</v>
      </c>
      <c r="D12" s="31" t="s">
        <v>35</v>
      </c>
      <c r="E12" s="37">
        <f>(F6+F7+F8+F9+F10+F11)*F5</f>
        <v>203.65349999999995</v>
      </c>
      <c r="F12" s="40">
        <f t="shared" si="0"/>
        <v>203.65</v>
      </c>
    </row>
    <row r="13" spans="1:8" ht="41.25" customHeight="1">
      <c r="A13" s="83">
        <v>9</v>
      </c>
      <c r="B13" s="48" t="s">
        <v>11</v>
      </c>
      <c r="C13" s="31" t="s">
        <v>65</v>
      </c>
      <c r="D13" s="31" t="s">
        <v>35</v>
      </c>
      <c r="E13" s="37">
        <f>F12*F14*0.2</f>
        <v>348974.64</v>
      </c>
      <c r="F13" s="40">
        <f>E13</f>
        <v>348974.64</v>
      </c>
    </row>
    <row r="14" spans="1:8" ht="41.25" customHeight="1">
      <c r="A14" s="84"/>
      <c r="B14" s="57" t="s">
        <v>27</v>
      </c>
      <c r="C14" s="58" t="s">
        <v>72</v>
      </c>
      <c r="D14" s="58" t="s">
        <v>36</v>
      </c>
      <c r="E14" s="59">
        <f>520+8048</f>
        <v>8568</v>
      </c>
      <c r="F14" s="39">
        <f>E14</f>
        <v>8568</v>
      </c>
      <c r="G14" s="33" t="s">
        <v>75</v>
      </c>
    </row>
    <row r="15" spans="1:8" ht="35.25" customHeight="1">
      <c r="A15" s="30">
        <v>10</v>
      </c>
      <c r="B15" s="31" t="s">
        <v>12</v>
      </c>
      <c r="C15" s="44" t="s">
        <v>66</v>
      </c>
      <c r="D15" s="44" t="s">
        <v>35</v>
      </c>
      <c r="E15" s="45">
        <f>((F12*F14)+F13)*0.05</f>
        <v>104692.39199999999</v>
      </c>
      <c r="F15" s="39">
        <f>E15</f>
        <v>104692.39199999999</v>
      </c>
    </row>
    <row r="16" spans="1:8" s="49" customFormat="1" ht="39.75" customHeight="1">
      <c r="C16" s="50" t="s">
        <v>40</v>
      </c>
      <c r="D16" s="51" t="s">
        <v>35</v>
      </c>
      <c r="E16" s="52">
        <f>(F14*F12)+F13+F15</f>
        <v>2198540.2319999998</v>
      </c>
      <c r="F16" s="52">
        <f>E16</f>
        <v>2198540.2319999998</v>
      </c>
    </row>
    <row r="20" spans="8:8">
      <c r="H20" s="53"/>
    </row>
    <row r="21" spans="8:8">
      <c r="H21" s="53"/>
    </row>
  </sheetData>
  <mergeCells count="2">
    <mergeCell ref="A1:F1"/>
    <mergeCell ref="A13:A14"/>
  </mergeCells>
  <pageMargins left="0.2" right="0.2" top="0.17" bottom="0.17" header="0.17" footer="0.17"/>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6"/>
  <sheetViews>
    <sheetView view="pageBreakPreview" zoomScale="60" zoomScaleNormal="85" workbookViewId="0">
      <selection activeCell="E10" sqref="E10"/>
    </sheetView>
  </sheetViews>
  <sheetFormatPr defaultColWidth="9.140625" defaultRowHeight="15"/>
  <cols>
    <col min="1" max="1" width="7.28515625" style="2" customWidth="1"/>
    <col min="2" max="2" width="37.85546875" style="2" customWidth="1"/>
    <col min="3" max="3" width="73.85546875" style="2" customWidth="1"/>
    <col min="4" max="4" width="12.7109375" style="2" customWidth="1"/>
    <col min="5" max="5" width="18.85546875" style="2" customWidth="1"/>
    <col min="6" max="6" width="19.7109375" style="2" customWidth="1"/>
    <col min="7" max="16384" width="9.140625" style="2"/>
  </cols>
  <sheetData>
    <row r="1" spans="1:6" ht="18.75">
      <c r="A1" s="85" t="s">
        <v>16</v>
      </c>
      <c r="B1" s="85"/>
      <c r="C1" s="85"/>
      <c r="D1" s="85"/>
      <c r="E1" s="85"/>
      <c r="F1" s="85"/>
    </row>
    <row r="2" spans="1:6">
      <c r="A2" s="2" t="s">
        <v>24</v>
      </c>
    </row>
    <row r="4" spans="1:6" ht="69.75" customHeight="1">
      <c r="A4" s="3" t="s">
        <v>0</v>
      </c>
      <c r="B4" s="3" t="s">
        <v>1</v>
      </c>
      <c r="C4" s="3" t="s">
        <v>28</v>
      </c>
      <c r="D4" s="13" t="s">
        <v>34</v>
      </c>
      <c r="E4" s="6" t="s">
        <v>2</v>
      </c>
      <c r="F4" s="6" t="s">
        <v>38</v>
      </c>
    </row>
    <row r="5" spans="1:6" ht="76.5" customHeight="1">
      <c r="A5" s="86">
        <v>1</v>
      </c>
      <c r="B5" s="4" t="s">
        <v>13</v>
      </c>
      <c r="C5" s="8"/>
      <c r="D5" s="4" t="s">
        <v>41</v>
      </c>
      <c r="E5" s="11">
        <f>'Расчет НМЦК_24 ч_КТРУ 003'!F16</f>
        <v>2198540.2319999998</v>
      </c>
      <c r="F5" s="5">
        <f>E5</f>
        <v>2198540.2319999998</v>
      </c>
    </row>
    <row r="6" spans="1:6" ht="211.5" customHeight="1">
      <c r="A6" s="87"/>
      <c r="B6" s="1"/>
      <c r="C6" s="10" t="s">
        <v>70</v>
      </c>
      <c r="D6" s="4" t="s">
        <v>37</v>
      </c>
      <c r="E6" s="22"/>
      <c r="F6" s="23"/>
    </row>
    <row r="7" spans="1:6" ht="20.100000000000001" customHeight="1">
      <c r="A7" s="87"/>
      <c r="B7" s="1"/>
      <c r="C7" s="10" t="s">
        <v>61</v>
      </c>
      <c r="D7" s="4"/>
      <c r="E7" s="22">
        <v>1</v>
      </c>
      <c r="F7" s="23"/>
    </row>
    <row r="8" spans="1:6" ht="20.100000000000001" customHeight="1">
      <c r="A8" s="87"/>
      <c r="B8" s="1"/>
      <c r="C8" s="10" t="s">
        <v>62</v>
      </c>
      <c r="D8" s="4"/>
      <c r="E8" s="22">
        <v>1.052</v>
      </c>
      <c r="F8" s="23"/>
    </row>
    <row r="9" spans="1:6" ht="20.100000000000001" customHeight="1">
      <c r="A9" s="87"/>
      <c r="B9" s="1"/>
      <c r="C9" s="10" t="s">
        <v>69</v>
      </c>
      <c r="D9" s="4"/>
      <c r="E9" s="22">
        <v>1.034</v>
      </c>
      <c r="F9" s="23"/>
    </row>
    <row r="10" spans="1:6" ht="20.100000000000001" customHeight="1">
      <c r="A10" s="87"/>
      <c r="B10" s="1"/>
      <c r="C10" s="60" t="s">
        <v>73</v>
      </c>
      <c r="D10" s="57"/>
      <c r="E10" s="61">
        <f>((E7*520)+(E8*8048))/(8568)</f>
        <v>1.0488440709617182</v>
      </c>
      <c r="F10" s="23"/>
    </row>
    <row r="11" spans="1:6" ht="20.100000000000001" customHeight="1">
      <c r="A11" s="87"/>
      <c r="B11" s="1" t="s">
        <v>14</v>
      </c>
      <c r="C11" s="4"/>
      <c r="D11" s="4" t="s">
        <v>35</v>
      </c>
      <c r="E11" s="41">
        <f>E5*E10</f>
        <v>2305925.887104</v>
      </c>
      <c r="F11" s="42">
        <f>E11</f>
        <v>2305925.887104</v>
      </c>
    </row>
    <row r="12" spans="1:6">
      <c r="A12" s="87"/>
      <c r="B12" s="4" t="s">
        <v>32</v>
      </c>
      <c r="C12" s="12" t="s">
        <v>33</v>
      </c>
      <c r="D12" s="4" t="s">
        <v>35</v>
      </c>
      <c r="E12" s="43">
        <f>F11*0.2</f>
        <v>461185.17742080003</v>
      </c>
      <c r="F12" s="42">
        <f>E12</f>
        <v>461185.17742080003</v>
      </c>
    </row>
    <row r="13" spans="1:6">
      <c r="A13" s="88"/>
      <c r="B13" s="7" t="s">
        <v>15</v>
      </c>
      <c r="C13" s="4"/>
      <c r="D13" s="4" t="s">
        <v>35</v>
      </c>
      <c r="E13" s="65"/>
      <c r="F13" s="66">
        <f>F12+F11</f>
        <v>2767111.0645248001</v>
      </c>
    </row>
    <row r="16" spans="1:6">
      <c r="E16" s="28"/>
    </row>
  </sheetData>
  <mergeCells count="2">
    <mergeCell ref="A1:F1"/>
    <mergeCell ref="A5:A13"/>
  </mergeCells>
  <pageMargins left="0.2" right="0.2" top="0.17" bottom="0.17" header="0.17" footer="0.17"/>
  <pageSetup paperSize="9"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4"/>
  <sheetViews>
    <sheetView view="pageBreakPreview" zoomScaleNormal="100" zoomScaleSheetLayoutView="100" workbookViewId="0">
      <selection activeCell="G13" sqref="G13"/>
    </sheetView>
  </sheetViews>
  <sheetFormatPr defaultRowHeight="15"/>
  <cols>
    <col min="1" max="1" width="6.85546875" style="24" customWidth="1"/>
    <col min="2" max="2" width="16.140625" style="24" customWidth="1"/>
    <col min="3" max="3" width="13.140625" style="24" customWidth="1"/>
    <col min="4" max="4" width="3.28515625" style="24" customWidth="1"/>
    <col min="5" max="5" width="12.5703125" style="24" customWidth="1"/>
    <col min="6" max="6" width="11.5703125" style="24" customWidth="1"/>
    <col min="7" max="7" width="9.28515625" style="24" customWidth="1"/>
    <col min="8" max="8" width="10.7109375" style="24" customWidth="1"/>
    <col min="9" max="9" width="12.140625" style="24" customWidth="1"/>
    <col min="10" max="10" width="15.140625" style="24" customWidth="1"/>
    <col min="11" max="11" width="16.140625" style="24" customWidth="1"/>
    <col min="12" max="12" width="14.7109375" style="24" customWidth="1"/>
    <col min="13" max="13" width="19" style="24" customWidth="1"/>
    <col min="14" max="14" width="9.140625" style="24"/>
    <col min="15" max="15" width="16.140625" style="24" customWidth="1"/>
    <col min="16" max="16384" width="9.140625" style="24"/>
  </cols>
  <sheetData>
    <row r="1" spans="1:11">
      <c r="A1" s="96"/>
      <c r="B1" s="96"/>
      <c r="C1" s="96"/>
      <c r="D1" s="96"/>
      <c r="E1" s="96"/>
      <c r="F1" s="96"/>
      <c r="G1" s="96"/>
      <c r="H1" s="96"/>
      <c r="I1" s="96"/>
      <c r="J1" s="96"/>
      <c r="K1" s="96"/>
    </row>
    <row r="2" spans="1:11" ht="20.25" customHeight="1">
      <c r="A2" s="97" t="s">
        <v>43</v>
      </c>
      <c r="B2" s="97"/>
      <c r="C2" s="97"/>
      <c r="D2" s="97"/>
      <c r="E2" s="97"/>
      <c r="F2" s="97"/>
      <c r="G2" s="97"/>
      <c r="H2" s="97"/>
      <c r="I2" s="97"/>
      <c r="J2" s="97"/>
      <c r="K2" s="97"/>
    </row>
    <row r="3" spans="1:11" ht="59.25" customHeight="1">
      <c r="A3" s="98" t="s">
        <v>44</v>
      </c>
      <c r="B3" s="98"/>
      <c r="C3" s="98"/>
      <c r="D3" s="98"/>
      <c r="E3" s="98"/>
      <c r="F3" s="98"/>
      <c r="G3" s="98"/>
      <c r="H3" s="98"/>
      <c r="I3" s="98"/>
      <c r="J3" s="98"/>
      <c r="K3" s="98"/>
    </row>
    <row r="4" spans="1:11" ht="29.25" customHeight="1">
      <c r="A4" s="99" t="s">
        <v>71</v>
      </c>
      <c r="B4" s="100"/>
      <c r="C4" s="100"/>
      <c r="D4" s="100"/>
      <c r="E4" s="100"/>
      <c r="F4" s="100"/>
      <c r="G4" s="100"/>
      <c r="H4" s="100"/>
      <c r="I4" s="100"/>
      <c r="J4" s="100"/>
      <c r="K4" s="101"/>
    </row>
    <row r="5" spans="1:11" ht="15" customHeight="1">
      <c r="A5" s="102" t="s">
        <v>0</v>
      </c>
      <c r="B5" s="102" t="s">
        <v>45</v>
      </c>
      <c r="C5" s="104" t="s">
        <v>46</v>
      </c>
      <c r="D5" s="105"/>
      <c r="E5" s="102" t="s">
        <v>47</v>
      </c>
      <c r="F5" s="102" t="s">
        <v>48</v>
      </c>
      <c r="G5" s="102" t="s">
        <v>34</v>
      </c>
      <c r="H5" s="102" t="s">
        <v>49</v>
      </c>
      <c r="I5" s="102" t="s">
        <v>58</v>
      </c>
      <c r="J5" s="89" t="s">
        <v>50</v>
      </c>
      <c r="K5" s="89" t="s">
        <v>51</v>
      </c>
    </row>
    <row r="6" spans="1:11" ht="97.5" customHeight="1">
      <c r="A6" s="103"/>
      <c r="B6" s="103"/>
      <c r="C6" s="106"/>
      <c r="D6" s="107"/>
      <c r="E6" s="103"/>
      <c r="F6" s="103"/>
      <c r="G6" s="103"/>
      <c r="H6" s="103"/>
      <c r="I6" s="103"/>
      <c r="J6" s="90"/>
      <c r="K6" s="90"/>
    </row>
    <row r="7" spans="1:11" ht="53.25" customHeight="1">
      <c r="A7" s="25">
        <v>1</v>
      </c>
      <c r="B7" s="25" t="s">
        <v>52</v>
      </c>
      <c r="C7" s="91" t="s">
        <v>53</v>
      </c>
      <c r="D7" s="92"/>
      <c r="E7" s="74">
        <v>24</v>
      </c>
      <c r="F7" s="75">
        <v>1</v>
      </c>
      <c r="G7" s="26" t="s">
        <v>54</v>
      </c>
      <c r="H7" s="70">
        <v>8568</v>
      </c>
      <c r="I7" s="71">
        <f>'Обоснование выбора метода НМЦК'!B9/H7</f>
        <v>322.95880771764706</v>
      </c>
      <c r="J7" s="72">
        <v>182.23</v>
      </c>
      <c r="K7" s="73">
        <f>H7*J7</f>
        <v>1561346.64</v>
      </c>
    </row>
    <row r="8" spans="1:11" ht="21.75" customHeight="1">
      <c r="A8" s="94" t="s">
        <v>55</v>
      </c>
      <c r="B8" s="95"/>
      <c r="C8" s="95"/>
      <c r="D8" s="95"/>
      <c r="E8" s="95"/>
      <c r="F8" s="95"/>
      <c r="G8" s="95"/>
      <c r="H8" s="95"/>
      <c r="I8" s="95"/>
      <c r="J8" s="95"/>
      <c r="K8" s="69">
        <f>K7</f>
        <v>1561346.64</v>
      </c>
    </row>
    <row r="9" spans="1:11">
      <c r="A9" s="27"/>
      <c r="B9" s="27"/>
      <c r="C9" s="27"/>
      <c r="D9" s="27"/>
      <c r="E9" s="27"/>
      <c r="F9" s="27"/>
      <c r="G9" s="27"/>
      <c r="H9" s="27"/>
      <c r="I9" s="27"/>
      <c r="J9" s="27"/>
      <c r="K9" s="27"/>
    </row>
    <row r="14" spans="1:11" ht="33.75" customHeight="1">
      <c r="A14" s="67" t="s">
        <v>57</v>
      </c>
      <c r="B14" s="67"/>
      <c r="C14" s="67"/>
      <c r="D14" s="67"/>
      <c r="E14" s="68"/>
      <c r="F14" s="68"/>
      <c r="G14" s="93">
        <f>K8</f>
        <v>1561346.64</v>
      </c>
      <c r="H14" s="93"/>
      <c r="I14" s="67" t="s">
        <v>56</v>
      </c>
    </row>
  </sheetData>
  <mergeCells count="17">
    <mergeCell ref="A1:K1"/>
    <mergeCell ref="A2:K2"/>
    <mergeCell ref="A3:K3"/>
    <mergeCell ref="A4:K4"/>
    <mergeCell ref="A5:A6"/>
    <mergeCell ref="B5:B6"/>
    <mergeCell ref="C5:D6"/>
    <mergeCell ref="E5:E6"/>
    <mergeCell ref="F5:F6"/>
    <mergeCell ref="G5:G6"/>
    <mergeCell ref="H5:H6"/>
    <mergeCell ref="I5:I6"/>
    <mergeCell ref="J5:J6"/>
    <mergeCell ref="K5:K6"/>
    <mergeCell ref="C7:D7"/>
    <mergeCell ref="G14:H14"/>
    <mergeCell ref="A8:J8"/>
  </mergeCell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Обоснование выбора метода НМЦК</vt:lpstr>
      <vt:lpstr>Расчет НМЦК_24 ч_КТРУ 003</vt:lpstr>
      <vt:lpstr>Расчет НМЦК_сумма</vt:lpstr>
      <vt:lpstr>расчет за человеко-час</vt:lpstr>
      <vt:lpstr>'Расчет НМЦК_24 ч_КТРУ 003'!Область_печати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Капкаев О.Ф.</dc:creator>
  <cp:lastModifiedBy>User-482</cp:lastModifiedBy>
  <cp:lastPrinted>2023-11-02T08:47:14Z</cp:lastPrinted>
  <dcterms:created xsi:type="dcterms:W3CDTF">2021-05-21T09:17:21Z</dcterms:created>
  <dcterms:modified xsi:type="dcterms:W3CDTF">2023-11-10T15:56:48Z</dcterms:modified>
</cp:coreProperties>
</file>