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firstSheet="1" activeTab="3"/>
  </bookViews>
  <sheets>
    <sheet name=" НМЦК с учетом лимитов" sheetId="2" r:id="rId1"/>
    <sheet name="Расчет НМЦК_24 ч_КТРУ 002" sheetId="3" r:id="rId2"/>
    <sheet name="Расчет НМЦК_сумма" sheetId="9" r:id="rId3"/>
    <sheet name="Расчет НМЦК с учетом ЛБО" sheetId="10" r:id="rId4"/>
  </sheets>
  <definedNames>
    <definedName name="_xlnm.Print_Area" localSheetId="1">'Расчет НМЦК_24 ч_КТРУ 002'!$A$1:$F$19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<sst xmlns="http://schemas.openxmlformats.org/spreadsheetml/2006/main" count="104" uniqueCount="77">
  <si>
    <t xml:space="preserve">Обоснование начальной (максимальной) цены контракта </t>
  </si>
  <si>
    <t>1. Обоснование выбора метода определения НМЦК</t>
  </si>
  <si>
    <t>Заказчик:</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</si>
  <si>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 (ГБОУ СО «Ревдинская школа»)</t>
  </si>
  <si>
    <t>В расчет принимается период с 08-00 часов 10.02.2025 года по 08-00 часов 19.10.2025 года, на 1 здание учреждения,  составляющий 6048 часа (252 дня х 24 часа х 1 здание) с учетом 1-го круглосуточного поста охраны в составе 1-го  сотрудника в здании. Наличие мобильной выездной группы.</t>
  </si>
  <si>
    <t>Показатель</t>
  </si>
  <si>
    <t>Значение показателя</t>
  </si>
  <si>
    <t>Метод определения начальной (максимальной) цены контракта (далее - НМЦК)</t>
  </si>
  <si>
    <t>Иной метод</t>
  </si>
  <si>
    <t xml:space="preserve">Обоснование невозможности применения методов обоснования НМЦК, указанных в части 1 статьи 22 Федерального закона от 05.04.2013 N 44-ФЗ "О контрактной системе в сфере закупок товаров, работ, услуг для обеспечения государственных и муниципальных нужд" (далее - Закон)
</t>
  </si>
  <si>
    <r>
      <rPr>
        <sz val="12"/>
        <rFont val="Times New Roman"/>
        <charset val="204"/>
      </rPr>
      <t xml:space="preserve">В соответствии с частью 22 статьи 22 Закона, а также постановлением Правительства РФ от 08.05.2020 № 645 "О федеральном органе исполнительной власти, уполномоченном на установление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порядок определения НМЦК на осуществление закупок охранных услуг устанавливается Федеральной службой войск национальной гвардии Российской Федерации. В целях реализации вышеуказанных полномочий утвержден приказ Росгвардии от 15.02.2021 N 45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(далее - Приказ). Расчет НМЦК произведен согласно требований Приказа. 
</t>
    </r>
    <r>
      <rPr>
        <sz val="12"/>
        <color theme="1"/>
        <rFont val="Times New Roman"/>
        <charset val="204"/>
      </rPr>
      <t xml:space="preserve">
</t>
    </r>
  </si>
  <si>
    <t>НМЦК, руб.</t>
  </si>
  <si>
    <r>
      <rPr>
        <sz val="12"/>
        <color theme="1"/>
        <rFont val="Times New Roman"/>
        <charset val="204"/>
      </rPr>
      <t>На основании части 2 статьи 72 Бюджетного кодекса Российской Федерации от 31.07.1998 № 145-ФЗ государственные (муниципальные) контракты заключаются в соответствии с планом-графиком закупок товаров, работ, услуг для обеспечения государственных (муниципальных) нужд, сформированным и утвержденным в установленном законодательством Российской Федерации о контрактной системе в сфере закупок товаров, работ, услуг для обеспечения государственных и муниципальных нужд порядке, и оплачиваются в пределах лимитов бюджетных обязательств, за исключением случаев, установленных пунктом 3 указанной статьи
Для приведения Н(М)ЦК в соответствие с утвержденными лимитами Плана финансово-хозяйственной деятельности сумма определена в размере</t>
    </r>
    <r>
      <rPr>
        <b/>
        <sz val="12"/>
        <color theme="1"/>
        <rFont val="Times New Roman"/>
        <charset val="204"/>
      </rPr>
      <t xml:space="preserve"> </t>
    </r>
    <r>
      <rPr>
        <sz val="12"/>
        <color theme="1"/>
        <rFont val="Times New Roman"/>
        <charset val="204"/>
      </rPr>
      <t xml:space="preserve"> </t>
    </r>
    <r>
      <rPr>
        <b/>
        <sz val="12"/>
        <color theme="1"/>
        <rFont val="Times New Roman"/>
        <charset val="204"/>
      </rPr>
      <t xml:space="preserve">1 909 570, 36 рублей (Один миллион девятьсот девять тысяч пятьсот семьдесят) рублей 36 копеек, в т.ч. НДС 20%-318 261,73  рублей
В т.ч. 2025 год 6 048 чел.-часов*165,00 руб. = 997 920,00 рублей
</t>
    </r>
  </si>
  <si>
    <t>2. Расчет НМЦК</t>
  </si>
  <si>
    <t xml:space="preserve">Место оказания услуг: 
623280, Свердловская область, г. Ревда, ул. Цветников,58
623280, Свердловская область,  г. Ревда, ул. Цветников,58
</t>
  </si>
  <si>
    <t>№ п/п</t>
  </si>
  <si>
    <t>Наименование показателя</t>
  </si>
  <si>
    <t>Формула, источник данных</t>
  </si>
  <si>
    <t>Единица измерения</t>
  </si>
  <si>
    <t>Значение</t>
  </si>
  <si>
    <t>Значение с округлением до 2-х знаков 
(за искл. ИПЦ)</t>
  </si>
  <si>
    <t>U-корректирующий коэффициент</t>
  </si>
  <si>
    <t>U = Uб + Uд1 + Uд2 + Uд3 + Uд4 + Uд5
Uб - пост охраны в составе одного работника с режимом работы 24 часа = 1
Uд1 - наличие спецсредств у работника = 0,00
Uд2 - охрана объектов и (или) имущества, а также обеспечение внутриобъектового и пропускного режимов на объектах, в отношении которых установлены обязательные для выполнения требования к антитеррористической защищенности = 0,1</t>
  </si>
  <si>
    <t>усл. ед.</t>
  </si>
  <si>
    <t>БЗП - базовая заработная плата работника (рублей/час)</t>
  </si>
  <si>
    <r>
      <rPr>
        <sz val="10"/>
        <color theme="1"/>
        <rFont val="Times New Roman"/>
        <charset val="204"/>
      </rPr>
      <t>БЗП = МРОТ/СНР
МРОТ - минимальный размер оплаты труда: 22440</t>
    </r>
    <r>
      <rPr>
        <sz val="10"/>
        <color rgb="FFFF0000"/>
        <rFont val="Times New Roman"/>
        <charset val="204"/>
      </rPr>
      <t xml:space="preserve"> </t>
    </r>
    <r>
      <rPr>
        <sz val="10"/>
        <color theme="1"/>
        <rFont val="Times New Roman"/>
        <charset val="204"/>
      </rPr>
      <t xml:space="preserve">руб.
СНР -  среднемесячное количество рабочих часов одного работника поста охраны. Определяется по производственному календарю (для 40-часовой пятидневной рабочей недели) на 2025 год - 169,44 ч
</t>
    </r>
  </si>
  <si>
    <t>руб.</t>
  </si>
  <si>
    <t>Дн - доплата за работу в ночное время</t>
  </si>
  <si>
    <t>20% - ПП РФ от 22 июля 2008 г. N 554 "О минимальном размере повышения оплаты труда за работу в ночное время"</t>
  </si>
  <si>
    <t>Двп - доплата за работу в выходные и праздничные дни</t>
  </si>
  <si>
    <t>В размере не менее двойной дневной или часовой тарифной ставки - ст. 153 ТК РФ. Статьей 112 Трудового кодекса Российской Федерации в 2025 году установлены  нерабочие праздничные дни в количестве 14 дней. При охране объектов используется рабочая неделя с предоставлением выходных дней по скользяцему графику (доплата за выходные дни не произодится в соответствии со с т. 111 ТК РФ), поэтому для расчета учитываются только нерабочие праздничные дни. Данное положение регламентируется правилами внутреннего трудового  распорядка, а для работников, режим рабочего времени которых отличается от общих правил, установленных у данного работадателя - трудовым договором. (Статьи 57, 100, 189 ТК РФ Трудового кодекса РФ)</t>
  </si>
  <si>
    <t xml:space="preserve">Дрк - доплата за районный коэффициент </t>
  </si>
  <si>
    <t>Постановление Госкомтруда СССР, Секретариата ВЦСПС от 02.07.1987 N 403/20-155 - 15%</t>
  </si>
  <si>
    <t>РО - резерв на отпуск</t>
  </si>
  <si>
    <t>СВ - страховые взносы</t>
  </si>
  <si>
    <t>СВ = (БЗП + Дн + Двп + Дрк + РО) * Y
Y - ставка страховых взносов 30,2%</t>
  </si>
  <si>
    <r>
      <rPr>
        <b/>
        <sz val="10"/>
        <color theme="1"/>
        <rFont val="Times New Roman"/>
        <charset val="204"/>
      </rPr>
      <t>С</t>
    </r>
    <r>
      <rPr>
        <b/>
        <vertAlign val="subscript"/>
        <sz val="10"/>
        <color theme="1"/>
        <rFont val="Times New Roman"/>
        <charset val="204"/>
      </rPr>
      <t>И</t>
    </r>
    <r>
      <rPr>
        <b/>
        <sz val="10"/>
        <color theme="1"/>
        <rFont val="Times New Roman"/>
        <charset val="204"/>
      </rPr>
      <t xml:space="preserve"> - прямые затраты</t>
    </r>
  </si>
  <si>
    <t>Си = (БЗП + Дн + Двп + Дрк + РО + СВ) * U</t>
  </si>
  <si>
    <t>КР - косвенные расходы</t>
  </si>
  <si>
    <t xml:space="preserve">                                                                                                         в том числе:</t>
  </si>
  <si>
    <t>Ки - количество часов работы работника по контракту на и-ом посту охраны</t>
  </si>
  <si>
    <t>с 10.02.2025 по 19.10.2025, в том числе:</t>
  </si>
  <si>
    <t>час</t>
  </si>
  <si>
    <t>2025 г.</t>
  </si>
  <si>
    <t>2026г.</t>
  </si>
  <si>
    <t>2027 г.</t>
  </si>
  <si>
    <t>П - прибыль</t>
  </si>
  <si>
    <t xml:space="preserve">                                                                                                в том числе:</t>
  </si>
  <si>
    <t>итого</t>
  </si>
  <si>
    <t xml:space="preserve">Место оказания услуг: 
623280, Свердловская область,  г. Ревда, ул. Цветников,58
623280, Свердловская область,  г. Ревда, ул. Цветников,58
</t>
  </si>
  <si>
    <t>НМЦК - начальная (максимальная) цена контракта</t>
  </si>
  <si>
    <t>руб. (без индекса и без НДС)</t>
  </si>
  <si>
    <t xml:space="preserve">Iинфл - индекс потребительских цен на прочие услуги, принимаемый в соответствии с публикуемыми Минэкономразвития России прогнозами социально-экономического развития Российской Федерации 
   Принимается равным 1, если расчет НМЦК и начало срока действия контракта приходятся на один календарный год,
иначе рассчитывается как средне арифметическое между индексами на каждый год срока действия контракта в соответствии с ПП РФ от 14.11.2015 №1234
</t>
  </si>
  <si>
    <t>Iинфл2024</t>
  </si>
  <si>
    <t>Iинфл2025</t>
  </si>
  <si>
    <t>НМЦК с учетом индекса</t>
  </si>
  <si>
    <t>НДС</t>
  </si>
  <si>
    <t>20% - п. 3 ст. 164 Налогового кодекса РФ</t>
  </si>
  <si>
    <t>ИТОГО расчетная НМЦК</t>
  </si>
  <si>
    <t xml:space="preserve">Место оказания услуг: 
623280, Свердловская область, г. Ревда, ул. Цветников,58
623280, Свердловская область, г. Ревда, ул. Цветников,58
</t>
  </si>
  <si>
    <t xml:space="preserve">Таблица расчета начальной (максимальной) цены контракта    </t>
  </si>
  <si>
    <t>Начальная (максимальная) цена контракта определена посредством затратного метода в соответствии с приказом Федеральной службы войск национальной гвардии РФ от 15 февраля 2021 г. № 45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охранных услуг», с учетом лимита финансирования Заказчиков.</t>
  </si>
  <si>
    <t>Оказание услуг в ГБОУ СО "Ревдинская школа"</t>
  </si>
  <si>
    <t>Наименование услуги</t>
  </si>
  <si>
    <t>Периодичность работы поста</t>
  </si>
  <si>
    <t>График работы поста (час)</t>
  </si>
  <si>
    <t>Количество постов охраны (пост)</t>
  </si>
  <si>
    <t xml:space="preserve">Количество </t>
  </si>
  <si>
    <t xml:space="preserve">Цена за единицу измерения в соответствии с Приказом Росгвардии от 15.02.2021 № 45  (руб.)                           </t>
  </si>
  <si>
    <t xml:space="preserve">цену за единицу услуги с учетом доведенных лимитов, руб. </t>
  </si>
  <si>
    <t>Начальная (максимальная) цена контракта с учетом принятой цены за единицу измерения</t>
  </si>
  <si>
    <t>услуги  охраны (выставление поста охраны)</t>
  </si>
  <si>
    <t>Ежедневно</t>
  </si>
  <si>
    <t>Человеко-час</t>
  </si>
  <si>
    <t>Итого:</t>
  </si>
  <si>
    <t>Выделенная сумма лимита бюджетных обязательств</t>
  </si>
  <si>
    <t>рублей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</si>
</sst>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176" formatCode="_-* #\.##0.00_-;\-* #\.##0.00_-;_-* &quot;-&quot;??_-;_-@_-"/>
    <numFmt numFmtId="177" formatCode="_-* #\.##0.00\ &quot;₽&quot;_-;\-* #\.##0.00\ &quot;₽&quot;_-;_-* \-??\ &quot;₽&quot;_-;_-@_-"/>
    <numFmt numFmtId="178" formatCode="_-* #\.##0_-;\-* #\.##0_-;_-* &quot;-&quot;_-;_-@_-"/>
    <numFmt numFmtId="179" formatCode="_-* #\.##0\ &quot;₽&quot;_-;\-* #\.##0\ &quot;₽&quot;_-;_-* \-\ &quot;₽&quot;_-;_-@_-"/>
    <numFmt numFmtId="180" formatCode="_-* #\ ##0_-;\-* #\ ##0_-;_-* &quot;-&quot;??_-;_-@_-"/>
    <numFmt numFmtId="181" formatCode="#\ ##0.00"/>
    <numFmt numFmtId="182" formatCode="#\ ##0.00000"/>
    <numFmt numFmtId="183" formatCode="#\ ##0.0000"/>
    <numFmt numFmtId="184" formatCode="#\ ##0.000"/>
    <numFmt numFmtId="185" formatCode="#\ ##0.00\ _₽"/>
  </numFmts>
  <fonts count="39">
    <font>
      <sz val="11"/>
      <color theme="1"/>
      <name val="Calibri"/>
      <charset val="204"/>
      <scheme val="minor"/>
    </font>
    <font>
      <sz val="11"/>
      <color theme="1"/>
      <name val="Times New Roman"/>
      <charset val="204"/>
    </font>
    <font>
      <sz val="10"/>
      <name val="Times New Roman"/>
      <charset val="204"/>
    </font>
    <font>
      <b/>
      <sz val="10"/>
      <name val="Times New Roman"/>
      <charset val="204"/>
    </font>
    <font>
      <sz val="10"/>
      <color theme="1"/>
      <name val="Times New Roman"/>
      <charset val="204"/>
    </font>
    <font>
      <b/>
      <sz val="10"/>
      <color theme="1"/>
      <name val="Times New Roman"/>
      <charset val="204"/>
    </font>
    <font>
      <b/>
      <i/>
      <sz val="10"/>
      <color theme="1"/>
      <name val="Times New Roman"/>
      <charset val="204"/>
    </font>
    <font>
      <b/>
      <sz val="11"/>
      <color theme="1"/>
      <name val="Times New Roman"/>
      <charset val="204"/>
    </font>
    <font>
      <i/>
      <sz val="10"/>
      <color theme="1"/>
      <name val="Times New Roman"/>
      <charset val="204"/>
    </font>
    <font>
      <b/>
      <sz val="12"/>
      <color theme="1"/>
      <name val="Times New Roman"/>
      <charset val="204"/>
    </font>
    <font>
      <b/>
      <sz val="14"/>
      <color theme="1"/>
      <name val="Times New Roman"/>
      <charset val="204"/>
    </font>
    <font>
      <sz val="12"/>
      <color theme="1"/>
      <name val="Times New Roman"/>
      <charset val="204"/>
    </font>
    <font>
      <sz val="12"/>
      <name val="Times New Roman"/>
      <charset val="204"/>
    </font>
    <font>
      <sz val="12"/>
      <color rgb="FF000000"/>
      <name val="Times New Roman"/>
      <charset val="20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204"/>
    </font>
    <font>
      <sz val="10"/>
      <name val="Arial"/>
      <charset val="204"/>
    </font>
    <font>
      <sz val="10"/>
      <name val="Arial Cyr"/>
      <charset val="204"/>
    </font>
    <font>
      <sz val="10"/>
      <color rgb="FFFF0000"/>
      <name val="Times New Roman"/>
      <charset val="204"/>
    </font>
    <font>
      <b/>
      <vertAlign val="subscript"/>
      <sz val="10"/>
      <color theme="1"/>
      <name val="Times New Roman"/>
      <charset val="20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176" fontId="14" fillId="0" borderId="0" applyFont="0" applyFill="0" applyBorder="0" applyAlignment="0" applyProtection="0">
      <alignment vertical="center"/>
    </xf>
    <xf numFmtId="177" fontId="14" fillId="0" borderId="0" applyFont="0" applyFill="0" applyBorder="0" applyAlignment="0" applyProtection="0">
      <alignment vertical="center"/>
    </xf>
    <xf numFmtId="9" fontId="14" fillId="0" borderId="0" applyFont="0" applyFill="0" applyBorder="0" applyAlignment="0" applyProtection="0">
      <alignment vertical="center"/>
    </xf>
    <xf numFmtId="178" fontId="14" fillId="0" borderId="0" applyFont="0" applyFill="0" applyBorder="0" applyAlignment="0" applyProtection="0">
      <alignment vertical="center"/>
    </xf>
    <xf numFmtId="179"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5" borderId="19" applyNumberFormat="0" applyAlignment="0" applyProtection="0">
      <alignment vertical="center"/>
    </xf>
    <xf numFmtId="0" fontId="24" fillId="6" borderId="20" applyNumberFormat="0" applyAlignment="0" applyProtection="0">
      <alignment vertical="center"/>
    </xf>
    <xf numFmtId="0" fontId="25" fillId="6" borderId="19" applyNumberFormat="0" applyAlignment="0" applyProtection="0">
      <alignment vertical="center"/>
    </xf>
    <xf numFmtId="0" fontId="26" fillId="7"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xf numFmtId="0" fontId="35" fillId="0" borderId="0"/>
    <xf numFmtId="0" fontId="35" fillId="0" borderId="0"/>
    <xf numFmtId="0" fontId="36" fillId="0" borderId="0"/>
    <xf numFmtId="0" fontId="14" fillId="0" borderId="0"/>
    <xf numFmtId="0" fontId="11" fillId="0" borderId="0"/>
  </cellStyleXfs>
  <cellXfs count="112">
    <xf numFmtId="0" fontId="0" fillId="0" borderId="0" xfId="0"/>
    <xf numFmtId="0" fontId="1" fillId="0" borderId="0" xfId="0" applyFont="1" applyAlignment="1">
      <alignment vertical="top"/>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12" xfId="0" applyFont="1" applyFill="1" applyBorder="1" applyAlignment="1">
      <alignment horizontal="center" vertical="top" wrapText="1"/>
    </xf>
    <xf numFmtId="180" fontId="2" fillId="0" borderId="4" xfId="0" applyNumberFormat="1" applyFont="1" applyFill="1" applyBorder="1" applyAlignment="1">
      <alignmen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0" xfId="0" applyFont="1" applyFill="1" applyAlignment="1">
      <alignment vertical="top" wrapText="1"/>
    </xf>
    <xf numFmtId="0" fontId="4" fillId="0" borderId="0" xfId="0" applyFont="1" applyAlignment="1">
      <alignment horizontal="left" vertical="top" wrapText="1"/>
    </xf>
    <xf numFmtId="181" fontId="4" fillId="0" borderId="0" xfId="0" applyNumberFormat="1" applyFont="1" applyAlignment="1">
      <alignment horizontal="center" vertical="top" readingOrder="1"/>
    </xf>
    <xf numFmtId="0" fontId="2" fillId="0" borderId="13" xfId="0" applyFont="1" applyFill="1" applyBorder="1" applyAlignment="1">
      <alignment horizontal="left" vertical="top" wrapText="1"/>
    </xf>
    <xf numFmtId="0" fontId="2" fillId="2" borderId="12" xfId="0" applyFont="1" applyFill="1" applyBorder="1" applyAlignment="1">
      <alignment horizontal="center" vertical="top" wrapText="1"/>
    </xf>
    <xf numFmtId="181" fontId="2" fillId="0" borderId="7" xfId="0" applyNumberFormat="1" applyFont="1" applyFill="1" applyBorder="1" applyAlignment="1">
      <alignment horizontal="center" vertical="top" wrapText="1"/>
    </xf>
    <xf numFmtId="181" fontId="2" fillId="0" borderId="3" xfId="0" applyNumberFormat="1" applyFont="1" applyFill="1" applyBorder="1" applyAlignment="1">
      <alignment horizontal="center" vertical="top" wrapText="1"/>
    </xf>
    <xf numFmtId="181" fontId="2" fillId="2" borderId="4" xfId="0" applyNumberFormat="1" applyFont="1" applyFill="1" applyBorder="1" applyAlignment="1">
      <alignment horizontal="center" vertical="top" wrapText="1"/>
    </xf>
    <xf numFmtId="181" fontId="2" fillId="3" borderId="4" xfId="0" applyNumberFormat="1" applyFont="1" applyFill="1" applyBorder="1" applyAlignment="1">
      <alignment horizontal="center" vertical="top" wrapText="1"/>
    </xf>
    <xf numFmtId="181" fontId="2" fillId="0" borderId="4" xfId="0" applyNumberFormat="1" applyFont="1" applyFill="1" applyBorder="1" applyAlignment="1">
      <alignment horizontal="center" vertical="top" wrapText="1"/>
    </xf>
    <xf numFmtId="0" fontId="4" fillId="0" borderId="0" xfId="0" applyFont="1" applyAlignment="1">
      <alignment vertical="top"/>
    </xf>
    <xf numFmtId="0" fontId="1" fillId="0" borderId="0" xfId="0" applyFont="1"/>
    <xf numFmtId="0" fontId="5" fillId="0" borderId="4" xfId="53" applyFont="1" applyBorder="1" applyAlignment="1">
      <alignment horizontal="center" vertical="center"/>
    </xf>
    <xf numFmtId="0" fontId="4" fillId="0" borderId="7" xfId="0" applyFont="1" applyBorder="1"/>
    <xf numFmtId="0" fontId="4" fillId="0" borderId="4" xfId="0" applyFont="1" applyBorder="1"/>
    <xf numFmtId="0" fontId="6" fillId="0" borderId="1" xfId="0" applyFont="1" applyFill="1" applyBorder="1"/>
    <xf numFmtId="0" fontId="4" fillId="0" borderId="14" xfId="0" applyFont="1" applyBorder="1" applyAlignment="1">
      <alignment horizontal="center" vertical="top" wrapText="1"/>
    </xf>
    <xf numFmtId="0" fontId="4" fillId="0" borderId="15" xfId="0" applyFont="1" applyBorder="1" applyAlignment="1">
      <alignment horizontal="center" vertical="top"/>
    </xf>
    <xf numFmtId="0" fontId="4" fillId="0" borderId="13" xfId="0" applyFont="1" applyBorder="1"/>
    <xf numFmtId="0" fontId="4" fillId="0" borderId="12" xfId="0" applyFont="1" applyBorder="1"/>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181" fontId="4" fillId="0" borderId="4" xfId="0" applyNumberFormat="1" applyFont="1" applyBorder="1" applyAlignment="1">
      <alignment horizontal="right" vertical="center"/>
    </xf>
    <xf numFmtId="0" fontId="4" fillId="0" borderId="4" xfId="0" applyFont="1" applyBorder="1" applyAlignment="1">
      <alignment horizontal="justify" vertical="center" wrapText="1"/>
    </xf>
    <xf numFmtId="182" fontId="5" fillId="2" borderId="4" xfId="0" applyNumberFormat="1" applyFont="1" applyFill="1" applyBorder="1" applyAlignment="1">
      <alignment horizontal="right" vertical="center" wrapText="1"/>
    </xf>
    <xf numFmtId="183" fontId="4" fillId="0" borderId="4" xfId="0" applyNumberFormat="1" applyFont="1" applyBorder="1" applyAlignment="1">
      <alignment horizontal="right" vertical="center" wrapText="1"/>
    </xf>
    <xf numFmtId="0" fontId="4" fillId="0" borderId="4" xfId="0" applyFont="1" applyBorder="1" applyAlignment="1">
      <alignment horizontal="left" vertical="center" wrapText="1" indent="4"/>
    </xf>
    <xf numFmtId="184" fontId="4" fillId="0" borderId="4" xfId="0" applyNumberFormat="1" applyFont="1" applyBorder="1" applyAlignment="1">
      <alignment horizontal="right" vertical="center" wrapText="1"/>
    </xf>
    <xf numFmtId="0" fontId="5" fillId="2" borderId="4" xfId="0" applyFont="1" applyFill="1" applyBorder="1" applyAlignment="1">
      <alignment horizontal="justify" vertical="center" wrapText="1"/>
    </xf>
    <xf numFmtId="0" fontId="4" fillId="2" borderId="4" xfId="0" applyFont="1" applyFill="1" applyBorder="1" applyAlignment="1">
      <alignment horizontal="left" vertical="center" wrapText="1"/>
    </xf>
    <xf numFmtId="181" fontId="2" fillId="0" borderId="4" xfId="0" applyNumberFormat="1" applyFont="1" applyBorder="1"/>
    <xf numFmtId="181" fontId="2" fillId="0" borderId="4" xfId="0" applyNumberFormat="1" applyFont="1" applyBorder="1" applyAlignment="1">
      <alignment horizontal="right" vertical="center"/>
    </xf>
    <xf numFmtId="9" fontId="4" fillId="0" borderId="4" xfId="0" applyNumberFormat="1" applyFont="1" applyBorder="1" applyAlignment="1">
      <alignment horizontal="left" vertical="center" wrapText="1"/>
    </xf>
    <xf numFmtId="0" fontId="5" fillId="0" borderId="4" xfId="0" applyFont="1" applyBorder="1" applyAlignment="1">
      <alignment horizontal="left" vertical="center" wrapText="1"/>
    </xf>
    <xf numFmtId="182" fontId="5" fillId="0" borderId="4" xfId="0" applyNumberFormat="1" applyFont="1" applyFill="1" applyBorder="1" applyAlignment="1">
      <alignment vertical="center"/>
    </xf>
    <xf numFmtId="181" fontId="5" fillId="0" borderId="4" xfId="0" applyNumberFormat="1" applyFont="1" applyFill="1" applyBorder="1" applyAlignment="1">
      <alignment horizontal="right" vertical="center"/>
    </xf>
    <xf numFmtId="0" fontId="7" fillId="0" borderId="0" xfId="0" applyFont="1" applyFill="1"/>
    <xf numFmtId="0" fontId="1" fillId="0" borderId="0" xfId="0" applyFont="1" applyFill="1"/>
    <xf numFmtId="0" fontId="5" fillId="0" borderId="4" xfId="53" applyFont="1" applyFill="1" applyBorder="1" applyAlignment="1">
      <alignment horizontal="center" vertical="center"/>
    </xf>
    <xf numFmtId="0" fontId="4" fillId="0" borderId="7" xfId="0" applyFont="1" applyFill="1" applyBorder="1"/>
    <xf numFmtId="0" fontId="4" fillId="0" borderId="4" xfId="0" applyFont="1" applyFill="1" applyBorder="1"/>
    <xf numFmtId="0" fontId="4" fillId="0" borderId="14" xfId="0" applyFont="1" applyFill="1" applyBorder="1" applyAlignment="1">
      <alignment horizontal="center" vertical="top" wrapText="1"/>
    </xf>
    <xf numFmtId="0" fontId="4" fillId="0" borderId="15" xfId="0" applyFont="1" applyFill="1" applyBorder="1" applyAlignment="1">
      <alignment horizontal="center" vertical="top"/>
    </xf>
    <xf numFmtId="0" fontId="4" fillId="0" borderId="13" xfId="0" applyFont="1" applyFill="1" applyBorder="1"/>
    <xf numFmtId="0" fontId="4" fillId="0" borderId="12" xfId="0" applyFont="1" applyFill="1" applyBorder="1"/>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182" fontId="4" fillId="0" borderId="4" xfId="0" applyNumberFormat="1" applyFont="1" applyFill="1" applyBorder="1" applyAlignment="1">
      <alignment vertical="center"/>
    </xf>
    <xf numFmtId="181" fontId="4" fillId="0" borderId="4" xfId="0" applyNumberFormat="1" applyFont="1" applyFill="1" applyBorder="1" applyAlignment="1">
      <alignment horizontal="right" vertical="center"/>
    </xf>
    <xf numFmtId="183" fontId="4" fillId="0" borderId="4" xfId="0" applyNumberFormat="1" applyFont="1" applyFill="1" applyBorder="1" applyAlignment="1">
      <alignment vertical="center"/>
    </xf>
    <xf numFmtId="0" fontId="4" fillId="0" borderId="4" xfId="0" applyFont="1" applyFill="1" applyBorder="1" applyAlignment="1">
      <alignment vertical="center"/>
    </xf>
    <xf numFmtId="183" fontId="4" fillId="0" borderId="4" xfId="0" applyNumberFormat="1" applyFont="1" applyFill="1" applyBorder="1" applyAlignment="1" applyProtection="1">
      <alignment vertical="center"/>
    </xf>
    <xf numFmtId="0" fontId="4" fillId="3" borderId="4" xfId="0" applyFont="1" applyFill="1" applyBorder="1" applyAlignment="1">
      <alignment horizontal="center" vertical="center"/>
    </xf>
    <xf numFmtId="0" fontId="8" fillId="3" borderId="4" xfId="0" applyFont="1" applyFill="1" applyBorder="1" applyAlignment="1">
      <alignment horizontal="left" vertical="center" wrapText="1"/>
    </xf>
    <xf numFmtId="183" fontId="8" fillId="3" borderId="4" xfId="0" applyNumberFormat="1" applyFont="1" applyFill="1" applyBorder="1" applyAlignment="1">
      <alignment horizontal="right" vertical="center"/>
    </xf>
    <xf numFmtId="181" fontId="8" fillId="0" borderId="4" xfId="0" applyNumberFormat="1" applyFont="1" applyFill="1" applyBorder="1" applyAlignment="1">
      <alignment horizontal="right" vertical="center"/>
    </xf>
    <xf numFmtId="183" fontId="4" fillId="0" borderId="4" xfId="0" applyNumberFormat="1" applyFont="1" applyFill="1" applyBorder="1" applyAlignment="1">
      <alignment horizontal="right" vertical="center"/>
    </xf>
    <xf numFmtId="0" fontId="5" fillId="0"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181" fontId="2" fillId="3" borderId="4" xfId="0" applyNumberFormat="1" applyFont="1" applyFill="1" applyBorder="1" applyAlignment="1" applyProtection="1">
      <alignment horizontal="right" vertical="center"/>
      <protection locked="0"/>
    </xf>
    <xf numFmtId="181" fontId="2" fillId="2" borderId="4" xfId="0" applyNumberFormat="1" applyFont="1" applyFill="1" applyBorder="1" applyAlignment="1" applyProtection="1">
      <alignment horizontal="right" vertical="center"/>
      <protection locked="0"/>
    </xf>
    <xf numFmtId="0" fontId="2" fillId="3" borderId="4" xfId="0" applyFont="1" applyFill="1" applyBorder="1" applyAlignment="1">
      <alignment horizontal="left" vertical="center" wrapText="1" indent="5"/>
    </xf>
    <xf numFmtId="181" fontId="2" fillId="4" borderId="4" xfId="0" applyNumberFormat="1" applyFont="1" applyFill="1" applyBorder="1" applyAlignment="1" applyProtection="1">
      <alignment horizontal="right" vertical="center"/>
      <protection locked="0"/>
    </xf>
    <xf numFmtId="0" fontId="2" fillId="0" borderId="4" xfId="0" applyFont="1" applyFill="1" applyBorder="1" applyAlignment="1">
      <alignment horizontal="left" vertical="center" wrapText="1"/>
    </xf>
    <xf numFmtId="183" fontId="2" fillId="0" borderId="4" xfId="0" applyNumberFormat="1" applyFont="1" applyFill="1" applyBorder="1" applyAlignment="1">
      <alignment horizontal="right" vertical="center"/>
    </xf>
    <xf numFmtId="181" fontId="2" fillId="0" borderId="4" xfId="0" applyNumberFormat="1" applyFont="1" applyFill="1" applyBorder="1" applyAlignment="1">
      <alignment horizontal="right" vertical="center"/>
    </xf>
    <xf numFmtId="0" fontId="5" fillId="0" borderId="4" xfId="0" applyFont="1" applyFill="1" applyBorder="1"/>
    <xf numFmtId="0" fontId="5" fillId="0" borderId="4" xfId="0" applyFont="1" applyFill="1" applyBorder="1" applyAlignment="1">
      <alignment horizontal="right"/>
    </xf>
    <xf numFmtId="185" fontId="5" fillId="0" borderId="4" xfId="0" applyNumberFormat="1" applyFont="1" applyFill="1" applyBorder="1"/>
    <xf numFmtId="0" fontId="9" fillId="0" borderId="0" xfId="53" applyFont="1" applyAlignment="1">
      <alignment horizontal="center" vertical="center"/>
    </xf>
    <xf numFmtId="0" fontId="10" fillId="0" borderId="0" xfId="53" applyFont="1" applyAlignment="1">
      <alignment horizontal="center" vertical="center"/>
    </xf>
    <xf numFmtId="0" fontId="11" fillId="0" borderId="0" xfId="0" applyFont="1"/>
    <xf numFmtId="0" fontId="9" fillId="0" borderId="4" xfId="53" applyFont="1" applyBorder="1" applyAlignment="1">
      <alignment horizontal="left" vertical="center"/>
    </xf>
    <xf numFmtId="0" fontId="11" fillId="2" borderId="4" xfId="0" applyFont="1" applyFill="1" applyBorder="1" applyAlignment="1">
      <alignment horizontal="left" vertical="center"/>
    </xf>
    <xf numFmtId="0" fontId="11" fillId="0" borderId="6" xfId="0" applyFont="1" applyBorder="1" applyAlignment="1">
      <alignment horizontal="left" vertical="top" wrapText="1"/>
    </xf>
    <xf numFmtId="0" fontId="9" fillId="0" borderId="4" xfId="53" applyFont="1" applyBorder="1" applyAlignment="1">
      <alignment horizontal="center" vertical="center"/>
    </xf>
    <xf numFmtId="0" fontId="11" fillId="0" borderId="4" xfId="53" applyFont="1" applyBorder="1" applyAlignment="1">
      <alignment horizontal="left" vertical="center" wrapText="1"/>
    </xf>
    <xf numFmtId="0" fontId="11" fillId="0" borderId="4" xfId="53" applyFont="1" applyBorder="1" applyAlignment="1">
      <alignment horizontal="left" vertical="center"/>
    </xf>
    <xf numFmtId="0" fontId="11" fillId="0" borderId="4" xfId="53" applyFont="1" applyBorder="1" applyAlignment="1">
      <alignment horizontal="left" vertical="top" wrapText="1"/>
    </xf>
    <xf numFmtId="0" fontId="12" fillId="0" borderId="4" xfId="53" applyFont="1" applyBorder="1" applyAlignment="1">
      <alignment horizontal="left" vertical="top" wrapText="1"/>
    </xf>
    <xf numFmtId="0" fontId="11" fillId="0" borderId="4" xfId="53" applyFont="1" applyFill="1" applyBorder="1" applyAlignment="1">
      <alignment horizontal="left" vertical="center" wrapText="1"/>
    </xf>
    <xf numFmtId="181" fontId="11" fillId="0" borderId="4" xfId="53" applyNumberFormat="1" applyFont="1" applyFill="1" applyBorder="1" applyAlignment="1">
      <alignment horizontal="right" vertical="center"/>
    </xf>
    <xf numFmtId="0" fontId="11" fillId="0" borderId="0" xfId="53" applyFont="1" applyFill="1" applyAlignment="1">
      <alignment horizontal="left" vertical="center" wrapText="1"/>
    </xf>
    <xf numFmtId="0" fontId="13" fillId="0" borderId="0" xfId="0" applyFont="1" applyAlignment="1">
      <alignment horizontal="justify" vertical="center"/>
    </xf>
  </cellXfs>
  <cellStyles count="55">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 name="Excel Built-in Normal" xfId="49"/>
    <cellStyle name="Обычный 15" xfId="50"/>
    <cellStyle name="Обычный 17" xfId="51"/>
    <cellStyle name="Обычный 2" xfId="52"/>
    <cellStyle name="Обычный 3" xfId="53"/>
    <cellStyle name="Обычный 4" xfId="54"/>
  </cellStyles>
  <tableStyles count="0" defaultTableStyle="TableStyleMedium2"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38100</xdr:colOff>
      <xdr:row>9</xdr:row>
      <xdr:rowOff>28575</xdr:rowOff>
    </xdr:from>
    <xdr:to>
      <xdr:col>2</xdr:col>
      <xdr:colOff>2678206</xdr:colOff>
      <xdr:row>9</xdr:row>
      <xdr:rowOff>533400</xdr:rowOff>
    </xdr:to>
    <xdr:pic>
      <xdr:nvPicPr>
        <xdr:cNvPr id="2" name="Рисунок 1" descr="base_1_383133_32772"/>
        <xdr:cNvPicPr preferRelativeResize="0">
          <a:picLocks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48000" y="8058150"/>
          <a:ext cx="263969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177053</xdr:colOff>
      <xdr:row>12</xdr:row>
      <xdr:rowOff>57150</xdr:rowOff>
    </xdr:from>
    <xdr:to>
      <xdr:col>2</xdr:col>
      <xdr:colOff>2442883</xdr:colOff>
      <xdr:row>12</xdr:row>
      <xdr:rowOff>438149</xdr:rowOff>
    </xdr:to>
    <xdr:pic>
      <xdr:nvPicPr>
        <xdr:cNvPr id="3" name="Рисунок 2" descr="base_1_383133_32769"/>
        <xdr:cNvPicPr preferRelativeResize="0">
          <a:picLocks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3186430" y="9201150"/>
          <a:ext cx="2266315" cy="38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1119</xdr:colOff>
      <xdr:row>17</xdr:row>
      <xdr:rowOff>44824</xdr:rowOff>
    </xdr:from>
    <xdr:to>
      <xdr:col>2</xdr:col>
      <xdr:colOff>2655794</xdr:colOff>
      <xdr:row>17</xdr:row>
      <xdr:rowOff>437030</xdr:rowOff>
    </xdr:to>
    <xdr:pic>
      <xdr:nvPicPr>
        <xdr:cNvPr id="4" name="Рисунок 3" descr="base_1_383133_32770"/>
        <xdr:cNvPicPr preferRelativeResize="0">
          <a:picLocks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3010535" y="10912475"/>
          <a:ext cx="2654935" cy="39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9524</xdr:colOff>
      <xdr:row>4</xdr:row>
      <xdr:rowOff>304799</xdr:rowOff>
    </xdr:from>
    <xdr:to>
      <xdr:col>2</xdr:col>
      <xdr:colOff>4648199</xdr:colOff>
      <xdr:row>4</xdr:row>
      <xdr:rowOff>962024</xdr:rowOff>
    </xdr:to>
    <xdr:pic>
      <xdr:nvPicPr>
        <xdr:cNvPr id="2" name="Рисунок 1" descr="base_1_383133_32768"/>
        <xdr:cNvPicPr preferRelativeResize="0">
          <a:picLocks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18790" y="2190115"/>
          <a:ext cx="46386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topLeftCell="A5" workbookViewId="0">
      <selection activeCell="A11" sqref="A11:B11"/>
    </sheetView>
  </sheetViews>
  <sheetFormatPr defaultColWidth="9.14285714285714" defaultRowHeight="15" outlineLevelCol="5"/>
  <cols>
    <col min="1" max="1" width="68.5714285714286" style="31" customWidth="1"/>
    <col min="2" max="2" width="118.571428571429" style="31" customWidth="1"/>
    <col min="3" max="3" width="9.14285714285714" style="31"/>
    <col min="4" max="4" width="12.1428571428571" style="31" customWidth="1"/>
    <col min="5" max="16384" width="9.14285714285714" style="31"/>
  </cols>
  <sheetData>
    <row r="1" ht="18.75" spans="1:6">
      <c r="A1" s="97" t="s">
        <v>0</v>
      </c>
      <c r="B1" s="97"/>
      <c r="C1" s="98"/>
      <c r="D1" s="98"/>
      <c r="E1" s="98"/>
      <c r="F1" s="98"/>
    </row>
    <row r="2" ht="18.75" spans="1:6">
      <c r="A2" s="99" t="s">
        <v>1</v>
      </c>
      <c r="B2" s="97"/>
      <c r="C2" s="98"/>
      <c r="D2" s="98"/>
      <c r="E2" s="98"/>
      <c r="F2" s="98"/>
    </row>
    <row r="3" ht="26.25" customHeight="1" spans="1:2">
      <c r="A3" s="99"/>
      <c r="B3" s="99"/>
    </row>
    <row r="4" ht="15.75" spans="1:2">
      <c r="A4" s="100" t="s">
        <v>2</v>
      </c>
      <c r="B4" s="101" t="s">
        <v>3</v>
      </c>
    </row>
    <row r="5" ht="48" customHeight="1" spans="1:2">
      <c r="A5" s="102" t="s">
        <v>4</v>
      </c>
      <c r="B5" s="102"/>
    </row>
    <row r="6" ht="15.75" spans="1:2">
      <c r="A6" s="103" t="s">
        <v>5</v>
      </c>
      <c r="B6" s="103" t="s">
        <v>6</v>
      </c>
    </row>
    <row r="7" ht="44.25" customHeight="1" spans="1:2">
      <c r="A7" s="104" t="s">
        <v>7</v>
      </c>
      <c r="B7" s="105" t="s">
        <v>8</v>
      </c>
    </row>
    <row r="8" ht="167.25" customHeight="1" spans="1:2">
      <c r="A8" s="106" t="s">
        <v>9</v>
      </c>
      <c r="B8" s="107" t="s">
        <v>10</v>
      </c>
    </row>
    <row r="9" ht="35.25" customHeight="1" spans="1:2">
      <c r="A9" s="108" t="s">
        <v>11</v>
      </c>
      <c r="B9" s="109">
        <f>'Расчет НМЦК_24 ч_КТРУ 002'!E19</f>
        <v>1591308.6336</v>
      </c>
    </row>
    <row r="10" ht="15.75" spans="1:2">
      <c r="A10" s="99"/>
      <c r="B10" s="99"/>
    </row>
    <row r="11" ht="149.25" customHeight="1" spans="1:2">
      <c r="A11" s="110" t="s">
        <v>12</v>
      </c>
      <c r="B11" s="110"/>
    </row>
    <row r="14" ht="15.75" spans="1:1">
      <c r="A14" s="111"/>
    </row>
  </sheetData>
  <mergeCells count="3">
    <mergeCell ref="A1:B1"/>
    <mergeCell ref="A5:B5"/>
    <mergeCell ref="A11:B11"/>
  </mergeCells>
  <pageMargins left="0.2" right="0.2" top="0.18" bottom="0.17" header="0.17" footer="0.17"/>
  <pageSetup paperSize="9" scale="5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zoomScale="85" zoomScaleNormal="85" topLeftCell="A6" workbookViewId="0">
      <selection activeCell="I13" sqref="I13"/>
    </sheetView>
  </sheetViews>
  <sheetFormatPr defaultColWidth="9.14285714285714" defaultRowHeight="15"/>
  <cols>
    <col min="1" max="1" width="7.28571428571429" style="60" customWidth="1"/>
    <col min="2" max="2" width="37.8571428571429" style="60" customWidth="1"/>
    <col min="3" max="3" width="73.8571428571429" style="60" customWidth="1"/>
    <col min="4" max="4" width="12.7142857142857" style="60" customWidth="1"/>
    <col min="5" max="5" width="18.8571428571429" style="60" customWidth="1"/>
    <col min="6" max="6" width="19.7142857142857" style="60" customWidth="1"/>
    <col min="7" max="16384" width="9.14285714285714" style="60"/>
  </cols>
  <sheetData>
    <row r="1" spans="1:6">
      <c r="A1" s="61" t="s">
        <v>0</v>
      </c>
      <c r="B1" s="61"/>
      <c r="C1" s="61"/>
      <c r="D1" s="61"/>
      <c r="E1" s="61"/>
      <c r="F1" s="61"/>
    </row>
    <row r="2" ht="15.75" spans="1:6">
      <c r="A2" s="62" t="s">
        <v>13</v>
      </c>
      <c r="B2" s="62"/>
      <c r="C2" s="62"/>
      <c r="D2" s="62"/>
      <c r="E2" s="63"/>
      <c r="F2" s="63"/>
    </row>
    <row r="3" ht="52.5" customHeight="1" spans="1:6">
      <c r="A3" s="35"/>
      <c r="B3" s="64" t="s">
        <v>14</v>
      </c>
      <c r="C3" s="65"/>
      <c r="D3" s="66"/>
      <c r="E3" s="67"/>
      <c r="F3" s="63"/>
    </row>
    <row r="4" ht="69.75" customHeight="1" spans="1:8">
      <c r="A4" s="68" t="s">
        <v>15</v>
      </c>
      <c r="B4" s="68" t="s">
        <v>16</v>
      </c>
      <c r="C4" s="68" t="s">
        <v>17</v>
      </c>
      <c r="D4" s="69" t="s">
        <v>18</v>
      </c>
      <c r="E4" s="42" t="s">
        <v>19</v>
      </c>
      <c r="F4" s="42" t="s">
        <v>20</v>
      </c>
      <c r="G4" s="70"/>
      <c r="H4" s="70"/>
    </row>
    <row r="5" ht="124.5" customHeight="1" spans="1:6">
      <c r="A5" s="71">
        <v>1</v>
      </c>
      <c r="B5" s="72" t="s">
        <v>21</v>
      </c>
      <c r="C5" s="72" t="s">
        <v>22</v>
      </c>
      <c r="D5" s="72" t="s">
        <v>23</v>
      </c>
      <c r="E5" s="73">
        <f>1+0.1</f>
        <v>1.1</v>
      </c>
      <c r="F5" s="74">
        <f t="shared" ref="F5:F11" si="0">ROUND(E5,2)</f>
        <v>1.1</v>
      </c>
    </row>
    <row r="6" ht="137.25" customHeight="1" spans="1:6">
      <c r="A6" s="71">
        <v>2</v>
      </c>
      <c r="B6" s="72" t="s">
        <v>24</v>
      </c>
      <c r="C6" s="72" t="s">
        <v>25</v>
      </c>
      <c r="D6" s="72" t="s">
        <v>26</v>
      </c>
      <c r="E6" s="75">
        <f>19242/164.9</f>
        <v>116.68890236507</v>
      </c>
      <c r="F6" s="74">
        <f t="shared" si="0"/>
        <v>116.69</v>
      </c>
    </row>
    <row r="7" ht="25.5" spans="1:6">
      <c r="A7" s="71">
        <v>3</v>
      </c>
      <c r="B7" s="76" t="s">
        <v>27</v>
      </c>
      <c r="C7" s="72" t="s">
        <v>28</v>
      </c>
      <c r="D7" s="72" t="s">
        <v>26</v>
      </c>
      <c r="E7" s="77">
        <f>F6*0.2/3</f>
        <v>7.77933333333333</v>
      </c>
      <c r="F7" s="74">
        <f t="shared" si="0"/>
        <v>7.78</v>
      </c>
    </row>
    <row r="8" ht="150.75" customHeight="1" spans="1:6">
      <c r="A8" s="71">
        <v>4</v>
      </c>
      <c r="B8" s="72" t="s">
        <v>29</v>
      </c>
      <c r="C8" s="72" t="s">
        <v>30</v>
      </c>
      <c r="D8" s="72" t="s">
        <v>26</v>
      </c>
      <c r="E8" s="75">
        <f>F6*(14/366)</f>
        <v>4.46355191256831</v>
      </c>
      <c r="F8" s="74">
        <f t="shared" si="0"/>
        <v>4.46</v>
      </c>
    </row>
    <row r="9" ht="41.25" customHeight="1" spans="1:6">
      <c r="A9" s="78">
        <v>5</v>
      </c>
      <c r="B9" s="79" t="s">
        <v>31</v>
      </c>
      <c r="C9" s="79" t="s">
        <v>32</v>
      </c>
      <c r="D9" s="79" t="s">
        <v>26</v>
      </c>
      <c r="E9" s="80">
        <f>(F6+F7+F8)*0.15</f>
        <v>19.3395</v>
      </c>
      <c r="F9" s="81">
        <f t="shared" si="0"/>
        <v>19.34</v>
      </c>
    </row>
    <row r="10" ht="44.25" customHeight="1" spans="1:6">
      <c r="A10" s="71">
        <v>6</v>
      </c>
      <c r="B10" s="72" t="s">
        <v>33</v>
      </c>
      <c r="C10" s="72"/>
      <c r="D10" s="72" t="s">
        <v>26</v>
      </c>
      <c r="E10" s="82">
        <f>(F6+F7+F8+F9)/12</f>
        <v>12.3558333333333</v>
      </c>
      <c r="F10" s="74">
        <f t="shared" si="0"/>
        <v>12.36</v>
      </c>
    </row>
    <row r="11" ht="25.5" spans="1:6">
      <c r="A11" s="71">
        <v>7</v>
      </c>
      <c r="B11" s="72" t="s">
        <v>34</v>
      </c>
      <c r="C11" s="72" t="s">
        <v>35</v>
      </c>
      <c r="D11" s="72" t="s">
        <v>26</v>
      </c>
      <c r="E11" s="82">
        <f>(F6+F7+F8+F9+F10)*0.3</f>
        <v>48.189</v>
      </c>
      <c r="F11" s="74">
        <f t="shared" si="0"/>
        <v>48.19</v>
      </c>
    </row>
    <row r="12" ht="18" customHeight="1" spans="1:6">
      <c r="A12" s="71">
        <v>8</v>
      </c>
      <c r="B12" s="83" t="s">
        <v>36</v>
      </c>
      <c r="C12" s="72" t="s">
        <v>37</v>
      </c>
      <c r="D12" s="72" t="s">
        <v>26</v>
      </c>
      <c r="E12" s="82">
        <f>E6+E7+E8+E9+E10+E11</f>
        <v>208.816120944305</v>
      </c>
      <c r="F12" s="58">
        <f>F6+F7+F8+F9+F10+F11</f>
        <v>208.82</v>
      </c>
    </row>
    <row r="13" ht="41.25" customHeight="1" spans="1:9">
      <c r="A13" s="71">
        <v>9</v>
      </c>
      <c r="B13" s="83" t="s">
        <v>38</v>
      </c>
      <c r="C13" s="72" t="s">
        <v>39</v>
      </c>
      <c r="D13" s="72" t="s">
        <v>26</v>
      </c>
      <c r="E13" s="82">
        <f>F12*F14*0.2</f>
        <v>252588.672</v>
      </c>
      <c r="F13" s="58">
        <f>E13</f>
        <v>252588.672</v>
      </c>
      <c r="H13" s="31"/>
      <c r="I13" s="31"/>
    </row>
    <row r="14" ht="33.75" customHeight="1" spans="1:9">
      <c r="A14" s="71"/>
      <c r="B14" s="84" t="s">
        <v>40</v>
      </c>
      <c r="C14" s="85" t="s">
        <v>41</v>
      </c>
      <c r="D14" s="86" t="s">
        <v>42</v>
      </c>
      <c r="E14" s="87">
        <v>6048</v>
      </c>
      <c r="F14" s="88">
        <f>E14</f>
        <v>6048</v>
      </c>
      <c r="H14" s="31"/>
      <c r="I14" s="31"/>
    </row>
    <row r="15" ht="20.25" customHeight="1" spans="1:9">
      <c r="A15" s="71"/>
      <c r="B15" s="84"/>
      <c r="C15" s="89" t="s">
        <v>43</v>
      </c>
      <c r="D15" s="86" t="s">
        <v>42</v>
      </c>
      <c r="E15" s="90">
        <v>6048</v>
      </c>
      <c r="F15" s="88">
        <f t="shared" ref="F15" si="1">E15</f>
        <v>6048</v>
      </c>
      <c r="H15" s="31"/>
      <c r="I15" s="31"/>
    </row>
    <row r="16" ht="20.25" customHeight="1" spans="1:9">
      <c r="A16" s="71"/>
      <c r="B16" s="84"/>
      <c r="C16" s="89" t="s">
        <v>44</v>
      </c>
      <c r="D16" s="86" t="s">
        <v>42</v>
      </c>
      <c r="E16" s="87">
        <v>0</v>
      </c>
      <c r="F16" s="88">
        <v>0</v>
      </c>
      <c r="H16" s="31"/>
      <c r="I16" s="31"/>
    </row>
    <row r="17" ht="20.25" customHeight="1" spans="1:9">
      <c r="A17" s="71"/>
      <c r="B17" s="84"/>
      <c r="C17" s="89" t="s">
        <v>45</v>
      </c>
      <c r="D17" s="86" t="s">
        <v>42</v>
      </c>
      <c r="E17" s="87">
        <v>0</v>
      </c>
      <c r="F17" s="88">
        <f>E17</f>
        <v>0</v>
      </c>
      <c r="H17" s="31"/>
      <c r="I17" s="31"/>
    </row>
    <row r="18" ht="35.25" customHeight="1" spans="1:9">
      <c r="A18" s="71">
        <v>10</v>
      </c>
      <c r="B18" s="72" t="s">
        <v>46</v>
      </c>
      <c r="C18" s="91" t="s">
        <v>47</v>
      </c>
      <c r="D18" s="91" t="s">
        <v>26</v>
      </c>
      <c r="E18" s="92">
        <f>((F12*F14)+F13)*0.05</f>
        <v>75776.6016</v>
      </c>
      <c r="F18" s="93">
        <f>E18</f>
        <v>75776.6016</v>
      </c>
      <c r="H18" s="31"/>
      <c r="I18" s="31"/>
    </row>
    <row r="19" s="59" customFormat="1" ht="39.75" customHeight="1" spans="1:9">
      <c r="A19" s="94"/>
      <c r="B19" s="94"/>
      <c r="C19" s="95" t="s">
        <v>48</v>
      </c>
      <c r="D19" s="94" t="s">
        <v>26</v>
      </c>
      <c r="E19" s="96">
        <f>(F14*F12)+F13+F18</f>
        <v>1591308.6336</v>
      </c>
      <c r="F19" s="96">
        <f>E19</f>
        <v>1591308.6336</v>
      </c>
      <c r="H19" s="31"/>
      <c r="I19" s="31"/>
    </row>
    <row r="20" spans="8:9">
      <c r="H20" s="31"/>
      <c r="I20" s="31"/>
    </row>
  </sheetData>
  <mergeCells count="3">
    <mergeCell ref="A1:F1"/>
    <mergeCell ref="B3:C3"/>
    <mergeCell ref="A13:A14"/>
  </mergeCells>
  <pageMargins left="0.196850393700787" right="0.196850393700787" top="0.15748031496063" bottom="0.15748031496063" header="0.15748031496063" footer="0.15748031496063"/>
  <pageSetup paperSize="9" scale="6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85" zoomScaleNormal="85" workbookViewId="0">
      <selection activeCell="C18" sqref="C18"/>
    </sheetView>
  </sheetViews>
  <sheetFormatPr defaultColWidth="9.14285714285714" defaultRowHeight="15" outlineLevelCol="5"/>
  <cols>
    <col min="1" max="1" width="7.28571428571429" style="31" customWidth="1"/>
    <col min="2" max="2" width="37.8571428571429" style="31" customWidth="1"/>
    <col min="3" max="3" width="73.8571428571429" style="31" customWidth="1"/>
    <col min="4" max="4" width="12.7142857142857" style="31" customWidth="1"/>
    <col min="5" max="5" width="18.8571428571429" style="31" customWidth="1"/>
    <col min="6" max="6" width="19.7142857142857" style="31" customWidth="1"/>
    <col min="7" max="7" width="9.14285714285714" style="31"/>
    <col min="8" max="8" width="16.7142857142857" style="31" customWidth="1"/>
    <col min="9" max="16384" width="9.14285714285714" style="31"/>
  </cols>
  <sheetData>
    <row r="1" spans="1:6">
      <c r="A1" s="32" t="s">
        <v>0</v>
      </c>
      <c r="B1" s="32"/>
      <c r="C1" s="32"/>
      <c r="D1" s="32"/>
      <c r="E1" s="32"/>
      <c r="F1" s="32"/>
    </row>
    <row r="2" ht="15.75" spans="1:6">
      <c r="A2" s="33" t="s">
        <v>13</v>
      </c>
      <c r="B2" s="33"/>
      <c r="C2" s="33"/>
      <c r="D2" s="33"/>
      <c r="E2" s="34"/>
      <c r="F2" s="34"/>
    </row>
    <row r="3" ht="48" customHeight="1" spans="1:6">
      <c r="A3" s="35"/>
      <c r="B3" s="36" t="s">
        <v>49</v>
      </c>
      <c r="C3" s="37"/>
      <c r="D3" s="38"/>
      <c r="E3" s="39"/>
      <c r="F3" s="34"/>
    </row>
    <row r="4" ht="69.75" customHeight="1" spans="1:6">
      <c r="A4" s="40" t="s">
        <v>15</v>
      </c>
      <c r="B4" s="40" t="s">
        <v>16</v>
      </c>
      <c r="C4" s="40" t="s">
        <v>17</v>
      </c>
      <c r="D4" s="41" t="s">
        <v>18</v>
      </c>
      <c r="E4" s="42" t="s">
        <v>19</v>
      </c>
      <c r="F4" s="42" t="s">
        <v>20</v>
      </c>
    </row>
    <row r="5" ht="76.5" customHeight="1" spans="1:6">
      <c r="A5" s="43">
        <v>1</v>
      </c>
      <c r="B5" s="44" t="s">
        <v>50</v>
      </c>
      <c r="C5" s="34"/>
      <c r="D5" s="44" t="s">
        <v>51</v>
      </c>
      <c r="E5" s="45">
        <f>'Расчет НМЦК_24 ч_КТРУ 002'!F19</f>
        <v>1591308.6336</v>
      </c>
      <c r="F5" s="45">
        <f>E5</f>
        <v>1591308.6336</v>
      </c>
    </row>
    <row r="6" ht="159" customHeight="1" spans="1:6">
      <c r="A6" s="43"/>
      <c r="B6" s="34"/>
      <c r="C6" s="46" t="s">
        <v>52</v>
      </c>
      <c r="D6" s="44" t="s">
        <v>23</v>
      </c>
      <c r="E6" s="47">
        <f>(E7*'Расчет НМЦК_24 ч_КТРУ 002'!E15+E8*'Расчет НМЦК_24 ч_КТРУ 002'!E16)/'Расчет НМЦК_24 ч_КТРУ 002'!E14</f>
        <v>1</v>
      </c>
      <c r="F6" s="48"/>
    </row>
    <row r="7" ht="20.1" customHeight="1" spans="1:6">
      <c r="A7" s="43"/>
      <c r="B7" s="34"/>
      <c r="C7" s="49" t="s">
        <v>53</v>
      </c>
      <c r="D7" s="44"/>
      <c r="E7" s="50">
        <v>1</v>
      </c>
      <c r="F7" s="48"/>
    </row>
    <row r="8" ht="20.1" customHeight="1" spans="1:6">
      <c r="A8" s="43"/>
      <c r="B8" s="34"/>
      <c r="C8" s="49" t="s">
        <v>54</v>
      </c>
      <c r="D8" s="44"/>
      <c r="E8" s="50">
        <v>1</v>
      </c>
      <c r="F8" s="48"/>
    </row>
    <row r="9" ht="20.1" customHeight="1" spans="1:6">
      <c r="A9" s="43"/>
      <c r="B9" s="34"/>
      <c r="C9" s="49"/>
      <c r="D9" s="44"/>
      <c r="E9" s="50"/>
      <c r="F9" s="48"/>
    </row>
    <row r="10" ht="20.1" customHeight="1" spans="1:6">
      <c r="A10" s="43"/>
      <c r="B10" s="34"/>
      <c r="C10" s="51"/>
      <c r="D10" s="52"/>
      <c r="E10" s="34"/>
      <c r="F10" s="48"/>
    </row>
    <row r="11" ht="15.75" customHeight="1" spans="1:6">
      <c r="A11" s="43"/>
      <c r="B11" s="34" t="s">
        <v>55</v>
      </c>
      <c r="C11" s="44"/>
      <c r="D11" s="44" t="s">
        <v>26</v>
      </c>
      <c r="E11" s="53">
        <f>E5*E6</f>
        <v>1591308.6336</v>
      </c>
      <c r="F11" s="54">
        <f>E11</f>
        <v>1591308.6336</v>
      </c>
    </row>
    <row r="12" spans="1:6">
      <c r="A12" s="43"/>
      <c r="B12" s="44" t="s">
        <v>56</v>
      </c>
      <c r="C12" s="55" t="s">
        <v>57</v>
      </c>
      <c r="D12" s="44" t="s">
        <v>26</v>
      </c>
      <c r="E12" s="54">
        <f>F11*0.2</f>
        <v>318261.72672</v>
      </c>
      <c r="F12" s="54">
        <f>E12</f>
        <v>318261.72672</v>
      </c>
    </row>
    <row r="13" spans="1:6">
      <c r="A13" s="43"/>
      <c r="B13" s="56" t="s">
        <v>58</v>
      </c>
      <c r="C13" s="44"/>
      <c r="D13" s="44" t="s">
        <v>26</v>
      </c>
      <c r="E13" s="57"/>
      <c r="F13" s="58">
        <f>F12+F11</f>
        <v>1909570.36032</v>
      </c>
    </row>
  </sheetData>
  <mergeCells count="3">
    <mergeCell ref="A1:F1"/>
    <mergeCell ref="B3:C3"/>
    <mergeCell ref="A5:A13"/>
  </mergeCells>
  <pageMargins left="0.2" right="0.2" top="0.17" bottom="0.17" header="0.17" footer="0.17"/>
  <pageSetup paperSize="9" scale="66"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topLeftCell="A3" workbookViewId="0">
      <selection activeCell="J16" sqref="J16"/>
    </sheetView>
  </sheetViews>
  <sheetFormatPr defaultColWidth="9.14285714285714" defaultRowHeight="15"/>
  <cols>
    <col min="1" max="1" width="5.71428571428571" style="1" customWidth="1"/>
    <col min="2" max="2" width="15.2857142857143" style="1" customWidth="1"/>
    <col min="3" max="3" width="12.1428571428571" style="1" customWidth="1"/>
    <col min="4" max="4" width="3.28571428571429" style="1" customWidth="1"/>
    <col min="5" max="5" width="12.5714285714286" style="1" customWidth="1"/>
    <col min="6" max="6" width="10.4285714285714" style="1" customWidth="1"/>
    <col min="7" max="7" width="9.28571428571429" style="1" customWidth="1"/>
    <col min="8" max="8" width="11.8571428571429" style="1" customWidth="1"/>
    <col min="9" max="9" width="17.5714285714286" style="1" customWidth="1"/>
    <col min="10" max="10" width="11.2857142857143" style="1" customWidth="1"/>
    <col min="11" max="11" width="16.1428571428571" style="1" customWidth="1"/>
    <col min="12" max="12" width="14.7142857142857" style="1" customWidth="1"/>
    <col min="13" max="13" width="19" style="1" customWidth="1"/>
    <col min="14" max="14" width="9.14285714285714" style="1"/>
    <col min="15" max="15" width="16.1428571428571" style="1" customWidth="1"/>
    <col min="16" max="16384" width="9.14285714285714" style="1"/>
  </cols>
  <sheetData>
    <row r="1" ht="50.25" customHeight="1" spans="1:11">
      <c r="A1" s="2" t="s">
        <v>59</v>
      </c>
      <c r="B1" s="3"/>
      <c r="C1" s="3"/>
      <c r="D1" s="3"/>
      <c r="E1" s="3"/>
      <c r="F1" s="3"/>
      <c r="G1" s="3"/>
      <c r="H1" s="3"/>
      <c r="I1" s="3"/>
      <c r="J1" s="3"/>
      <c r="K1" s="23"/>
    </row>
    <row r="2" ht="20.25" customHeight="1" spans="1:11">
      <c r="A2" s="4" t="s">
        <v>60</v>
      </c>
      <c r="B2" s="4"/>
      <c r="C2" s="4"/>
      <c r="D2" s="4"/>
      <c r="E2" s="4"/>
      <c r="F2" s="4"/>
      <c r="G2" s="4"/>
      <c r="H2" s="4"/>
      <c r="I2" s="4"/>
      <c r="J2" s="4"/>
      <c r="K2" s="4"/>
    </row>
    <row r="3" ht="59.25" customHeight="1" spans="1:11">
      <c r="A3" s="5" t="s">
        <v>61</v>
      </c>
      <c r="B3" s="5"/>
      <c r="C3" s="5"/>
      <c r="D3" s="5"/>
      <c r="E3" s="5"/>
      <c r="F3" s="5"/>
      <c r="G3" s="5"/>
      <c r="H3" s="5"/>
      <c r="I3" s="5"/>
      <c r="J3" s="5"/>
      <c r="K3" s="5"/>
    </row>
    <row r="4" ht="29.25" customHeight="1" spans="1:11">
      <c r="A4" s="6" t="s">
        <v>62</v>
      </c>
      <c r="B4" s="7"/>
      <c r="C4" s="7"/>
      <c r="D4" s="7"/>
      <c r="E4" s="7"/>
      <c r="F4" s="7"/>
      <c r="G4" s="7"/>
      <c r="H4" s="7"/>
      <c r="I4" s="7"/>
      <c r="J4" s="7"/>
      <c r="K4" s="24"/>
    </row>
    <row r="5" customHeight="1" spans="1:11">
      <c r="A5" s="8" t="s">
        <v>15</v>
      </c>
      <c r="B5" s="8" t="s">
        <v>63</v>
      </c>
      <c r="C5" s="9" t="s">
        <v>64</v>
      </c>
      <c r="D5" s="10"/>
      <c r="E5" s="8" t="s">
        <v>65</v>
      </c>
      <c r="F5" s="8" t="s">
        <v>66</v>
      </c>
      <c r="G5" s="8" t="s">
        <v>18</v>
      </c>
      <c r="H5" s="8" t="s">
        <v>67</v>
      </c>
      <c r="I5" s="8" t="s">
        <v>68</v>
      </c>
      <c r="J5" s="25" t="s">
        <v>69</v>
      </c>
      <c r="K5" s="25" t="s">
        <v>70</v>
      </c>
    </row>
    <row r="6" ht="131.25" customHeight="1" spans="1:11">
      <c r="A6" s="11"/>
      <c r="B6" s="11"/>
      <c r="C6" s="12"/>
      <c r="D6" s="13"/>
      <c r="E6" s="11"/>
      <c r="F6" s="11"/>
      <c r="G6" s="11"/>
      <c r="H6" s="11"/>
      <c r="I6" s="11"/>
      <c r="J6" s="26"/>
      <c r="K6" s="26"/>
    </row>
    <row r="7" ht="53.25" customHeight="1" spans="1:11">
      <c r="A7" s="14">
        <v>1</v>
      </c>
      <c r="B7" s="14" t="s">
        <v>71</v>
      </c>
      <c r="C7" s="15" t="s">
        <v>72</v>
      </c>
      <c r="D7" s="16"/>
      <c r="E7" s="5">
        <v>24</v>
      </c>
      <c r="F7" s="5">
        <v>1</v>
      </c>
      <c r="G7" s="5" t="s">
        <v>73</v>
      </c>
      <c r="H7" s="17">
        <v>6048</v>
      </c>
      <c r="I7" s="27">
        <f>'Расчет НМЦК_сумма'!F13/'Расчет НМЦК с учетом ЛБО'!H7</f>
        <v>315.73584</v>
      </c>
      <c r="J7" s="28">
        <v>165</v>
      </c>
      <c r="K7" s="29">
        <f>H7*J7</f>
        <v>997920</v>
      </c>
    </row>
    <row r="8" ht="18" customHeight="1" spans="1:11">
      <c r="A8" s="18" t="s">
        <v>74</v>
      </c>
      <c r="B8" s="19"/>
      <c r="C8" s="19"/>
      <c r="D8" s="19"/>
      <c r="E8" s="19"/>
      <c r="F8" s="19"/>
      <c r="G8" s="19"/>
      <c r="H8" s="19"/>
      <c r="I8" s="19"/>
      <c r="J8" s="19"/>
      <c r="K8" s="29">
        <f>ROUND(K7,2)</f>
        <v>997920</v>
      </c>
    </row>
    <row r="9" spans="1:11">
      <c r="A9" s="20"/>
      <c r="B9" s="20"/>
      <c r="C9" s="20"/>
      <c r="D9" s="20"/>
      <c r="E9" s="20"/>
      <c r="F9" s="20"/>
      <c r="G9" s="20"/>
      <c r="H9" s="20"/>
      <c r="I9" s="20"/>
      <c r="J9" s="20"/>
      <c r="K9" s="20"/>
    </row>
    <row r="10" ht="30" customHeight="1" spans="1:11">
      <c r="A10" s="21" t="s">
        <v>75</v>
      </c>
      <c r="B10" s="21"/>
      <c r="C10" s="21"/>
      <c r="D10" s="21"/>
      <c r="E10" s="21"/>
      <c r="F10" s="21"/>
      <c r="G10" s="22">
        <f>K8</f>
        <v>997920</v>
      </c>
      <c r="H10" s="22"/>
      <c r="I10" s="30" t="s">
        <v>76</v>
      </c>
      <c r="J10" s="30"/>
      <c r="K10" s="30"/>
    </row>
  </sheetData>
  <mergeCells count="18">
    <mergeCell ref="A1:K1"/>
    <mergeCell ref="A2:K2"/>
    <mergeCell ref="A3:K3"/>
    <mergeCell ref="A4:K4"/>
    <mergeCell ref="C7:D7"/>
    <mergeCell ref="A8:J8"/>
    <mergeCell ref="A10:F10"/>
    <mergeCell ref="G10:H10"/>
    <mergeCell ref="A5:A6"/>
    <mergeCell ref="B5:B6"/>
    <mergeCell ref="E5:E6"/>
    <mergeCell ref="F5:F6"/>
    <mergeCell ref="G5:G6"/>
    <mergeCell ref="H5:H6"/>
    <mergeCell ref="I5:I6"/>
    <mergeCell ref="J5:J6"/>
    <mergeCell ref="K5:K6"/>
    <mergeCell ref="C5:D6"/>
  </mergeCells>
  <pageMargins left="0.7" right="0.7" top="0.75" bottom="0.75" header="0.3" footer="0.3"/>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 НМЦК с учетом лимитов</vt:lpstr>
      <vt:lpstr>Расчет НМЦК_24 ч_КТРУ 002</vt:lpstr>
      <vt:lpstr>Расчет НМЦК_сумма</vt:lpstr>
      <vt:lpstr>Расчет НМЦК с учетом ЛБО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Капкаев О.Ф.</dc:creator>
  <cp:lastModifiedBy>Пользователь</cp:lastModifiedBy>
  <dcterms:created xsi:type="dcterms:W3CDTF">2021-05-21T09:17:00Z</dcterms:created>
  <cp:lastPrinted>2023-06-16T09:20:00Z</cp:lastPrinted>
  <dcterms:modified xsi:type="dcterms:W3CDTF">2025-01-24T03:11:19Z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838ED077DB734C87986BF9C7AA7F1E8A_12</vt:lpwstr>
  </property>
  <property fmtid="{D5CDD505-2E9C-101B-9397-08002B2CF9AE}" pid="3" name="KSOProductBuildVer">
    <vt:lpwstr>1049-12.2.0.19805</vt:lpwstr>
  </property>
</Properties>
</file>