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Охрана дек.22-23гг\ОХРАНА 2023-2024гг\"/>
    </mc:Choice>
  </mc:AlternateContent>
  <bookViews>
    <workbookView xWindow="0" yWindow="0" windowWidth="28800" windowHeight="12330" activeTab="2"/>
  </bookViews>
  <sheets>
    <sheet name=" НМЦК с учетом лимитов" sheetId="2" r:id="rId1"/>
    <sheet name="Расчет НМЦК_24 ч_КТРУ 003" sheetId="3" r:id="rId2"/>
    <sheet name="Расчет НМЦК_сумма" sheetId="9" r:id="rId3"/>
    <sheet name="расчет за человеко-час" sheetId="10" r:id="rId4"/>
  </sheets>
  <definedNames>
    <definedName name="_xlnm.Print_Area" localSheetId="1">'Расчет НМЦК_24 ч_КТРУ 003'!$A$1:$F$19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3" l="1"/>
  <c r="E13" i="3"/>
  <c r="E6" i="3" l="1"/>
  <c r="E5" i="3" l="1"/>
  <c r="E14" i="3" l="1"/>
  <c r="E6" i="9" l="1"/>
  <c r="H7" i="10"/>
  <c r="K7" i="10" s="1"/>
  <c r="F17" i="3" l="1"/>
  <c r="F14" i="3" l="1"/>
  <c r="F15" i="3" l="1"/>
  <c r="F16" i="3"/>
  <c r="K8" i="10" l="1"/>
  <c r="G10" i="10" s="1"/>
  <c r="F6" i="3" l="1"/>
  <c r="F5" i="3"/>
  <c r="E7" i="3" l="1"/>
  <c r="F7" i="3" s="1"/>
  <c r="E8" i="3"/>
  <c r="F8" i="3" s="1"/>
  <c r="E9" i="3" l="1"/>
  <c r="F9" i="3" s="1"/>
  <c r="E10" i="3" s="1"/>
  <c r="F10" i="3" l="1"/>
  <c r="E11" i="3" s="1"/>
  <c r="F11" i="3" s="1"/>
  <c r="E12" i="3" l="1"/>
  <c r="F12" i="3" s="1"/>
  <c r="F13" i="3" l="1"/>
  <c r="F18" i="3" l="1"/>
  <c r="E19" i="3" s="1"/>
  <c r="F19" i="3" s="1"/>
  <c r="E5" i="9" s="1"/>
  <c r="E11" i="9" l="1"/>
  <c r="F11" i="9" s="1"/>
  <c r="E12" i="9" s="1"/>
  <c r="F12" i="9" s="1"/>
  <c r="F13" i="9" s="1"/>
  <c r="F5" i="9"/>
  <c r="B9" i="2" l="1"/>
  <c r="I7" i="10"/>
</calcChain>
</file>

<file path=xl/sharedStrings.xml><?xml version="1.0" encoding="utf-8"?>
<sst xmlns="http://schemas.openxmlformats.org/spreadsheetml/2006/main" count="103" uniqueCount="75">
  <si>
    <t>№ п/п</t>
  </si>
  <si>
    <t>Наименование показателя</t>
  </si>
  <si>
    <t>Значение</t>
  </si>
  <si>
    <t>U-корректирующий коэффициент</t>
  </si>
  <si>
    <t>СВ - страховые взносы</t>
  </si>
  <si>
    <t>БЗП - базовая заработная плата работника (рублей/час)</t>
  </si>
  <si>
    <t>Дн - доплата за работу в ночное время</t>
  </si>
  <si>
    <t>20% - ПП РФ от 22 июля 2008 г. N 554 "О минимальном размере повышения оплаты труда за работу в ночное время"</t>
  </si>
  <si>
    <t>Двп - доплата за работу в выходные и праздничные дни</t>
  </si>
  <si>
    <t>РО - резерв на отпуск</t>
  </si>
  <si>
    <t>Си = (БЗП + Дн + Двп + Дрк + РО + СВ) * U</t>
  </si>
  <si>
    <t>КР - косвенные расходы</t>
  </si>
  <si>
    <t>П - прибыль</t>
  </si>
  <si>
    <t>НМЦК - начальная (максимальная) цена контракта</t>
  </si>
  <si>
    <t>НМЦК с учетом индекса</t>
  </si>
  <si>
    <t xml:space="preserve">Обоснование начальной (максимальной) цены контракта </t>
  </si>
  <si>
    <t>Показатель</t>
  </si>
  <si>
    <t>Значение показателя</t>
  </si>
  <si>
    <t>Метод определения начальной (максимальной) цены контракта (далее - НМЦК)</t>
  </si>
  <si>
    <t>Иной метод</t>
  </si>
  <si>
    <t xml:space="preserve">Обоснование невозможности применения методов обоснования НМЦК, указанных в части 1 статьи 22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Закон)
</t>
  </si>
  <si>
    <t>1. Обоснование выбора метода определения НМЦК</t>
  </si>
  <si>
    <t>2. Расчет НМЦК</t>
  </si>
  <si>
    <t xml:space="preserve">Дрк - доплата за районный коэффициент </t>
  </si>
  <si>
    <t>Постановление Госкомтруда СССР, Секретариата ВЦСПС от 02.07.1987 N 403/20-155 - 15%</t>
  </si>
  <si>
    <t>Ки - количество часов работы работника по контракту на и-ом посту охраны</t>
  </si>
  <si>
    <t>Формула, источник данных</t>
  </si>
  <si>
    <t>СВ = (БЗП + Дн + Двп + Дрк + РО) * Y
Y - ставка страховых взносов 30,2%</t>
  </si>
  <si>
    <t>Заказчик:</t>
  </si>
  <si>
    <t>НДС</t>
  </si>
  <si>
    <t>20% - п. 3 ст. 164 Налогового кодекса РФ</t>
  </si>
  <si>
    <t>Единица измерения</t>
  </si>
  <si>
    <t>руб.</t>
  </si>
  <si>
    <t>час</t>
  </si>
  <si>
    <t>усл. ед.</t>
  </si>
  <si>
    <t>Значение с округлением до 2-х знаков 
(за искл. ИПЦ)</t>
  </si>
  <si>
    <r>
      <rPr>
        <sz val="12"/>
        <rFont val="Times New Roman"/>
        <family val="1"/>
        <charset val="204"/>
      </rPr>
      <t xml:space="preserve">В соответствии с частью 22 статьи 22 Закона, а также постановлением Правительства РФ от 08.05.2020 № 645 "О федеральном органе исполнительной власти, уполномоченном на установление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порядок определения НМЦК на осуществление закупок охранных услуг устанавливается Федеральной службой войск национальной гвардии Российской Федерации. В целях реализации вышеуказанных полномочий утвержден приказ Росгвардии от 15.02.2021 N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(далее - Приказ). Расчет НМЦК произведен согласно требований Приказа. 
</t>
    </r>
    <r>
      <rPr>
        <sz val="12"/>
        <color theme="1"/>
        <rFont val="Times New Roman"/>
        <family val="1"/>
        <charset val="204"/>
      </rPr>
      <t xml:space="preserve">
</t>
    </r>
  </si>
  <si>
    <t>итого</t>
  </si>
  <si>
    <t>руб. (без индекса и без НДС)</t>
  </si>
  <si>
    <t xml:space="preserve">Таблица расчета начальной (максимальной) цены контракта    </t>
  </si>
  <si>
    <t>Начальная (максимальная) цена контракта определена посредством затратного метода в соответствии с приказом Федеральной службы войск национальной гвардии РФ от 15 февраля 2021 г. №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с учетом лимита финансирования Заказчиков.</t>
  </si>
  <si>
    <t>Наименование услуги</t>
  </si>
  <si>
    <t>Периодичность работы поста</t>
  </si>
  <si>
    <t>График работы поста (час)</t>
  </si>
  <si>
    <t>Количество постов охраны (пост)</t>
  </si>
  <si>
    <t xml:space="preserve">Количество </t>
  </si>
  <si>
    <t>Ежедневно</t>
  </si>
  <si>
    <t>Человеко-час</t>
  </si>
  <si>
    <t>рублей</t>
  </si>
  <si>
    <t>В размере не менее двойной дневной или часовой тарифной ставки - ст. 153 ТК РФ. Статьей 112 Трудового кодекса Российской Федерации в 2022 году установлены  нерабочие праздничные дни в количестве 14 дней. При охране объектов используется рабочая неделя с предоставлением выходных дней по скользяцему графику (доплата за выходные дни не произодится в соответствии со с т. 111 ТК РФ), поэтому для расчета учитываются только нерабочие праздничные дни. Данное положение регламентируется правилами внутреннего трудового  распорядка, а для работников, режим рабочего времени которых отличается от общих правил, установленных у данного работадателя - трудовым договором. (Статьи 57, 100, 189 ТК РФ Трудового кодекса РФ)</t>
  </si>
  <si>
    <t>Iинфл2023</t>
  </si>
  <si>
    <r>
      <t>С</t>
    </r>
    <r>
      <rPr>
        <b/>
        <vertAlign val="subscript"/>
        <sz val="11"/>
        <color theme="1"/>
        <rFont val="Liberation Serif"/>
        <charset val="204"/>
      </rPr>
      <t>И</t>
    </r>
    <r>
      <rPr>
        <b/>
        <sz val="11"/>
        <color theme="1"/>
        <rFont val="Liberation Serif"/>
        <charset val="204"/>
      </rPr>
      <t xml:space="preserve"> - прямые затраты</t>
    </r>
  </si>
  <si>
    <t xml:space="preserve">                                                                                                в том числе:</t>
  </si>
  <si>
    <t>2023 г.</t>
  </si>
  <si>
    <t>2024 г.</t>
  </si>
  <si>
    <t>НМЦК, руб.</t>
  </si>
  <si>
    <t>ИТОГО расчетная НМЦК</t>
  </si>
  <si>
    <t>Начальная (максимальная) цена контракта с учетом принятой цены за единицу измерения</t>
  </si>
  <si>
    <t xml:space="preserve">Исп. Главный бухгалтер Полуяхтова   И.А. </t>
  </si>
  <si>
    <t xml:space="preserve">Цена за единицу измерения в соответствии с Приказом Росгвардии от 15.02.2021 № 45  (руб.)                           </t>
  </si>
  <si>
    <t>U = Uб + Uд1 + Uд2 + Uд3 + Uд4 + Uд5
Uб - пост охраны в составе одного работника с режимом работы 24 часа = 1
Uд1 - наличие спецсредств у работника = 0,00
Uд2 - охрана объектов и (или) имущества, а также обеспечение внутриобъектового и пропускного режимов на объектах, в отношении которых установлены обязательные для выполнения требования к антитеррористической защищенности = 0,1</t>
  </si>
  <si>
    <t xml:space="preserve">Место оказания услуг: 
623704, Свердловская область, г. Березовский ул. Максима Горького д.2 корп.А .
623704, Свердловская область, г. Березовский ул. Максима Горького д.22
</t>
  </si>
  <si>
    <t xml:space="preserve">                                                                                                         в том числе:</t>
  </si>
  <si>
    <t xml:space="preserve">Место оказания услуг: 
623704, Свердловская область, г. Березовский ул. Максима Горького д.2 корп.А
623704, Свердловская область, г. Березовский ул. Максима Горького д.22
</t>
  </si>
  <si>
    <t>Оказание услуг в ГБОУ СО "Березовская школа"</t>
  </si>
  <si>
    <t>услуги  охраны (выставление поста охраны)</t>
  </si>
  <si>
    <t xml:space="preserve">Iинфл - индекс потребительских цен на прочие услуги, принимаемый в соответствии с публикуемыми Минэкономразвития России прогнозами социально-экономического развития Российской Федерации 
   Принимается равным 1, если расчет НМЦК и начало срока действия контракта приходятся на один календарный год,
иначе рассчитывается как средне арифметическое между индексами на каждый год срока действия контракта в соответствии с ПП РФ от 14.11.2015 №1234
</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</si>
  <si>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 (ГБОУ СО «Березовская школа»)</t>
  </si>
  <si>
    <t xml:space="preserve">цену за единицу услуги с учетом доведенных лимитов, руб. </t>
  </si>
  <si>
    <t>Начальная (максимальная) цена контракта составляет с учетом доведенных лимитов :</t>
  </si>
  <si>
    <r>
      <t xml:space="preserve">БЗП = МРОТ/СНР
МРОТ - минимальный размер оплаты труда: </t>
    </r>
    <r>
      <rPr>
        <sz val="11"/>
        <color rgb="FFFF0000"/>
        <rFont val="Liberation Serif"/>
        <charset val="204"/>
      </rPr>
      <t xml:space="preserve">16242 </t>
    </r>
    <r>
      <rPr>
        <sz val="11"/>
        <color theme="1"/>
        <rFont val="Liberation Serif"/>
        <family val="1"/>
        <charset val="204"/>
      </rPr>
      <t xml:space="preserve">руб.
СНР -  среднемесячное количество рабочих часов одного работника поста охраны. Определяется по производственному календарю (для 40-часовой пятидневной рабочей недели) на 2023 год - 164,4 ч
</t>
    </r>
  </si>
  <si>
    <t>Iинфл2024</t>
  </si>
  <si>
    <t>с 01.12.2023 по 01.01.2025г., в том числе:</t>
  </si>
  <si>
    <r>
      <t xml:space="preserve">На основании части 2 статьи 72 Бюджетного кодекса Российской Федерации от 31.07.1998 № 145-ФЗ государственные (муниципальные) контракты заключаются в соответствии с планом-графиком закупок товаров, работ, услуг для обеспечения государственных (муниципальных) нужд, сформированным и утвержденным в установленном законодательством Российской Федерации о контрактной системе в сфере закупок товаров, работ, услуг для обеспечения государственных и муниципальных нужд порядке, и оплачиваются в пределах лимитов бюджетных обязательств, за исключением случаев, установленных пунктом 3 указанной статьи
Для приведения Н(М)ЦК в соответствие с утвержденными лимитами Плана финансово-хозяйственной деятельности сумма определена в размере </t>
    </r>
    <r>
      <rPr>
        <b/>
        <sz val="12"/>
        <color theme="1"/>
        <rFont val="Liberation Serif"/>
        <charset val="204"/>
      </rPr>
      <t>2 763 120,00 рублей</t>
    </r>
    <r>
      <rPr>
        <sz val="12"/>
        <color theme="1"/>
        <rFont val="Liberation Serif"/>
        <family val="1"/>
        <charset val="204"/>
      </rPr>
      <t xml:space="preserve"> (Два миллиона семьсот шестьдесят три тысячи сто двадцать ) рублей 00 копеек, в т.ч. НДС 20%- 460 520,00 рублей
</t>
    </r>
  </si>
  <si>
    <t>В расчет принимается период с 08-00 часов 01.12.2023 года по 08-00 часов 01.01.2025 года, на 2 здания учреждения,  составляющий 19 056 часов (397 дней х 24 часа х 2 здания) с учетом 1-го круглосуточного поста охраны в составе 1-го  сотрудника в каждом здании. Наличие мобильной выездной группы.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</si>
</sst>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000"/>
    <numFmt numFmtId="166" formatCode="#,##0.00\ _₽"/>
    <numFmt numFmtId="167" formatCode="_-* #,##0_-;\-* #,##0_-;_-* &quot;-&quot;??_-;_-@_-"/>
    <numFmt numFmtId="168" formatCode="#,##0.000"/>
  </numFmts>
  <fonts count="28">
    <font>
      <sz val="11"/>
      <color theme="1"/>
      <name val="Calibri"/>
      <family val="2"/>
      <charset val="204"/>
      <scheme val="minor"/>
    </font>
    <font>
      <sz val="11"/>
      <color theme="1"/>
      <name val="Liberation Serif"/>
      <family val="1"/>
      <charset val="204"/>
    </font>
    <font>
      <b/>
      <sz val="11"/>
      <color theme="1"/>
      <name val="Liberation Serif"/>
      <family val="1"/>
      <charset val="204"/>
    </font>
    <font>
      <sz val="11"/>
      <color theme="1"/>
      <name val="Calibri"/>
      <family val="2"/>
      <scheme val="minor"/>
    </font>
    <font>
      <b/>
      <sz val="14"/>
      <color theme="1"/>
      <name val="Liberation Serif"/>
      <family val="1"/>
      <charset val="204"/>
    </font>
    <font>
      <sz val="10"/>
      <name val="Arial Cyr"/>
      <charset val="204"/>
    </font>
    <font>
      <sz val="12"/>
      <color theme="1"/>
      <name val="Times New Roman"/>
      <family val="2"/>
      <charset val="204"/>
    </font>
    <font>
      <sz val="11"/>
      <name val="Liberation Serif"/>
      <family val="1"/>
      <charset val="204"/>
    </font>
    <font>
      <b/>
      <sz val="12"/>
      <color theme="1"/>
      <name val="Times New Roman"/>
      <family val="1"/>
      <charset val="204"/>
    </font>
    <font>
      <sz val="12"/>
      <color theme="1"/>
      <name val="Times New Roman"/>
      <family val="1"/>
      <charset val="204"/>
    </font>
    <font>
      <sz val="12"/>
      <name val="Times New Roman"/>
      <family val="1"/>
      <charset val="204"/>
    </font>
    <font>
      <sz val="12"/>
      <color theme="1"/>
      <name val="Liberation Serif"/>
      <family val="1"/>
      <charset val="204"/>
    </font>
    <font>
      <sz val="10"/>
      <name val="Times New Roman"/>
      <family val="1"/>
      <charset val="204"/>
    </font>
    <font>
      <b/>
      <sz val="10"/>
      <name val="Times New Roman"/>
      <family val="1"/>
      <charset val="204"/>
    </font>
    <font>
      <sz val="10"/>
      <name val="Arial"/>
      <family val="2"/>
      <charset val="204"/>
    </font>
    <font>
      <sz val="11"/>
      <color theme="1"/>
      <name val="Times New Roman"/>
      <family val="1"/>
      <charset val="204"/>
    </font>
    <font>
      <sz val="11"/>
      <color indexed="8"/>
      <name val="Calibri"/>
      <family val="2"/>
      <charset val="204"/>
    </font>
    <font>
      <sz val="11"/>
      <color rgb="FFFF0000"/>
      <name val="Liberation Serif"/>
      <charset val="204"/>
    </font>
    <font>
      <b/>
      <sz val="11"/>
      <color theme="1"/>
      <name val="Liberation Serif"/>
      <charset val="204"/>
    </font>
    <font>
      <b/>
      <vertAlign val="subscript"/>
      <sz val="11"/>
      <color theme="1"/>
      <name val="Liberation Serif"/>
      <charset val="204"/>
    </font>
    <font>
      <i/>
      <sz val="11"/>
      <color theme="1"/>
      <name val="Liberation Serif"/>
      <charset val="204"/>
    </font>
    <font>
      <sz val="12"/>
      <color theme="1"/>
      <name val="Calibri"/>
      <family val="2"/>
      <charset val="204"/>
      <scheme val="minor"/>
    </font>
    <font>
      <b/>
      <sz val="12"/>
      <name val="Times New Roman"/>
      <family val="1"/>
      <charset val="204"/>
    </font>
    <font>
      <sz val="10"/>
      <name val="Liberation Serif"/>
      <charset val="204"/>
    </font>
    <font>
      <b/>
      <i/>
      <sz val="11"/>
      <color theme="1"/>
      <name val="Liberation Serif"/>
      <charset val="204"/>
    </font>
    <font>
      <b/>
      <i/>
      <sz val="10"/>
      <name val="Times New Roman"/>
      <family val="1"/>
      <charset val="204"/>
    </font>
    <font>
      <b/>
      <sz val="12"/>
      <color theme="1"/>
      <name val="Liberation Serif"/>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0" fontId="3" fillId="0" borderId="0"/>
    <xf numFmtId="0" fontId="5" fillId="0" borderId="0"/>
    <xf numFmtId="0" fontId="6" fillId="0" borderId="0"/>
    <xf numFmtId="0" fontId="14" fillId="0" borderId="0"/>
    <xf numFmtId="0" fontId="14" fillId="0" borderId="0"/>
    <xf numFmtId="0" fontId="16" fillId="0" borderId="0"/>
  </cellStyleXfs>
  <cellXfs count="121">
    <xf numFmtId="0" fontId="0" fillId="0" borderId="0" xfId="0"/>
    <xf numFmtId="0" fontId="1" fillId="0" borderId="1" xfId="0" applyFont="1" applyBorder="1"/>
    <xf numFmtId="0" fontId="1" fillId="0" borderId="0" xfId="0" applyFont="1"/>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xf numFmtId="0" fontId="4" fillId="0" borderId="0" xfId="1" applyFont="1" applyAlignment="1">
      <alignment horizontal="center" vertical="center"/>
    </xf>
    <xf numFmtId="0" fontId="1" fillId="0" borderId="1" xfId="0" applyFont="1" applyBorder="1" applyAlignment="1">
      <alignment horizontal="justify" vertical="center" wrapText="1"/>
    </xf>
    <xf numFmtId="9" fontId="1" fillId="0" borderId="1" xfId="0" applyNumberFormat="1" applyFont="1" applyBorder="1" applyAlignment="1">
      <alignment horizontal="left" vertical="center" wrapText="1"/>
    </xf>
    <xf numFmtId="0" fontId="8" fillId="0" borderId="1" xfId="1" applyFont="1" applyBorder="1" applyAlignment="1">
      <alignment horizontal="center" vertical="center"/>
    </xf>
    <xf numFmtId="0" fontId="9" fillId="0" borderId="0" xfId="0" applyFont="1"/>
    <xf numFmtId="0" fontId="8" fillId="0" borderId="0" xfId="1" applyFont="1" applyAlignment="1">
      <alignment horizontal="center" vertical="center"/>
    </xf>
    <xf numFmtId="0" fontId="8" fillId="0" borderId="1" xfId="1" applyFont="1" applyBorder="1" applyAlignment="1">
      <alignment horizontal="left"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9" fillId="0" borderId="1" xfId="1" applyFont="1" applyBorder="1" applyAlignment="1">
      <alignment horizontal="left" vertical="top" wrapText="1"/>
    </xf>
    <xf numFmtId="165" fontId="1" fillId="0" borderId="1" xfId="0" applyNumberFormat="1" applyFont="1" applyBorder="1" applyAlignment="1">
      <alignment horizontal="right" vertical="center" wrapText="1"/>
    </xf>
    <xf numFmtId="0" fontId="0" fillId="0" borderId="0" xfId="0" applyAlignment="1">
      <alignment vertical="top"/>
    </xf>
    <xf numFmtId="0" fontId="12" fillId="2"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0" xfId="0" applyFont="1" applyFill="1" applyAlignment="1">
      <alignment vertical="top" wrapText="1"/>
    </xf>
    <xf numFmtId="164"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xf>
    <xf numFmtId="0" fontId="1" fillId="0" borderId="0" xfId="0" applyFont="1" applyFill="1"/>
    <xf numFmtId="0" fontId="1" fillId="0" borderId="1" xfId="0" applyFont="1" applyFill="1" applyBorder="1" applyAlignment="1">
      <alignment vertical="center"/>
    </xf>
    <xf numFmtId="164" fontId="1" fillId="0" borderId="1" xfId="0" applyNumberFormat="1" applyFont="1" applyFill="1" applyBorder="1" applyAlignment="1" applyProtection="1">
      <alignment vertical="center"/>
    </xf>
    <xf numFmtId="0" fontId="15" fillId="0" borderId="1" xfId="0" applyFont="1" applyFill="1" applyBorder="1" applyAlignment="1">
      <alignment horizontal="left" vertical="center" wrapText="1"/>
    </xf>
    <xf numFmtId="164" fontId="1" fillId="0" borderId="1" xfId="0" applyNumberFormat="1" applyFont="1" applyFill="1" applyBorder="1" applyAlignment="1">
      <alignment horizontal="right" vertical="center"/>
    </xf>
    <xf numFmtId="4" fontId="20" fillId="0"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Fill="1" applyBorder="1" applyAlignment="1">
      <alignment horizontal="left" vertical="center" wrapText="1"/>
    </xf>
    <xf numFmtId="164" fontId="7" fillId="0" borderId="1" xfId="0" applyNumberFormat="1" applyFont="1" applyFill="1" applyBorder="1" applyAlignment="1">
      <alignment horizontal="right" vertical="center"/>
    </xf>
    <xf numFmtId="0" fontId="1" fillId="0" borderId="0" xfId="0" applyFont="1" applyFill="1" applyAlignment="1">
      <alignment horizontal="center" vertical="center" wrapText="1"/>
    </xf>
    <xf numFmtId="0" fontId="18" fillId="0" borderId="1" xfId="0" applyFont="1" applyFill="1" applyBorder="1" applyAlignment="1">
      <alignment horizontal="left" vertical="center" wrapText="1"/>
    </xf>
    <xf numFmtId="0" fontId="18" fillId="0" borderId="0" xfId="0" applyFont="1" applyFill="1"/>
    <xf numFmtId="0" fontId="18" fillId="0" borderId="1" xfId="0" applyFont="1" applyFill="1" applyBorder="1" applyAlignment="1">
      <alignment horizontal="right"/>
    </xf>
    <xf numFmtId="0" fontId="18" fillId="0" borderId="1" xfId="0" applyFont="1" applyFill="1" applyBorder="1"/>
    <xf numFmtId="166" fontId="18" fillId="0" borderId="1" xfId="0" applyNumberFormat="1" applyFont="1" applyFill="1" applyBorder="1"/>
    <xf numFmtId="0" fontId="1" fillId="3" borderId="1" xfId="0" applyFont="1" applyFill="1" applyBorder="1" applyAlignment="1">
      <alignment horizontal="center" vertical="center"/>
    </xf>
    <xf numFmtId="0" fontId="20" fillId="3" borderId="1" xfId="0" applyFont="1" applyFill="1" applyBorder="1" applyAlignment="1">
      <alignment horizontal="left" vertical="center" wrapText="1"/>
    </xf>
    <xf numFmtId="164" fontId="20" fillId="3" borderId="1" xfId="0" applyNumberFormat="1" applyFont="1" applyFill="1" applyBorder="1" applyAlignment="1">
      <alignment horizontal="right" vertical="center"/>
    </xf>
    <xf numFmtId="0" fontId="1"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64" fontId="2" fillId="0" borderId="1" xfId="0" applyNumberFormat="1" applyFont="1" applyFill="1" applyBorder="1" applyAlignment="1">
      <alignment vertical="center"/>
    </xf>
    <xf numFmtId="4" fontId="2" fillId="0" borderId="1" xfId="0" applyNumberFormat="1" applyFont="1" applyFill="1" applyBorder="1" applyAlignment="1">
      <alignment horizontal="right" vertical="center"/>
    </xf>
    <xf numFmtId="0" fontId="21" fillId="0" borderId="0" xfId="0" applyFont="1" applyAlignment="1">
      <alignment vertical="top"/>
    </xf>
    <xf numFmtId="4" fontId="22" fillId="0" borderId="1" xfId="0" applyNumberFormat="1" applyFont="1" applyFill="1" applyBorder="1" applyAlignment="1">
      <alignment horizontal="center" vertical="top" wrapText="1"/>
    </xf>
    <xf numFmtId="167" fontId="10" fillId="0" borderId="1" xfId="0" applyNumberFormat="1" applyFont="1" applyFill="1" applyBorder="1" applyAlignment="1">
      <alignment horizontal="left" vertical="top" wrapText="1"/>
    </xf>
    <xf numFmtId="4" fontId="10" fillId="3" borderId="1"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7" fillId="3" borderId="1" xfId="0" applyNumberFormat="1" applyFont="1" applyFill="1" applyBorder="1" applyAlignment="1" applyProtection="1">
      <alignment horizontal="right" vertical="center"/>
      <protection locked="0"/>
    </xf>
    <xf numFmtId="0" fontId="18"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164" fontId="18" fillId="2" borderId="1" xfId="0" applyNumberFormat="1" applyFont="1" applyFill="1" applyBorder="1" applyAlignment="1">
      <alignment horizontal="right" vertical="center" wrapText="1"/>
    </xf>
    <xf numFmtId="0" fontId="1" fillId="0" borderId="1" xfId="0" applyFont="1" applyBorder="1" applyAlignment="1">
      <alignment horizontal="left" vertical="center" wrapText="1" indent="4"/>
    </xf>
    <xf numFmtId="0" fontId="23" fillId="3" borderId="1" xfId="0" applyFont="1" applyFill="1" applyBorder="1" applyAlignment="1">
      <alignment horizontal="left" vertical="center" wrapText="1"/>
    </xf>
    <xf numFmtId="4" fontId="23" fillId="3" borderId="1" xfId="0" applyNumberFormat="1" applyFont="1" applyFill="1" applyBorder="1" applyAlignment="1" applyProtection="1">
      <alignment horizontal="right" vertical="center"/>
      <protection locked="0"/>
    </xf>
    <xf numFmtId="168" fontId="1" fillId="0" borderId="1" xfId="0" applyNumberFormat="1" applyFont="1" applyBorder="1" applyAlignment="1">
      <alignment horizontal="right" vertical="center" wrapText="1"/>
    </xf>
    <xf numFmtId="4" fontId="7" fillId="0" borderId="1" xfId="0" applyNumberFormat="1" applyFont="1" applyBorder="1"/>
    <xf numFmtId="4" fontId="7" fillId="2" borderId="1" xfId="0" applyNumberFormat="1" applyFont="1" applyFill="1" applyBorder="1" applyAlignment="1" applyProtection="1">
      <alignment horizontal="right" vertical="center"/>
      <protection locked="0"/>
    </xf>
    <xf numFmtId="4" fontId="23" fillId="2" borderId="1" xfId="0" applyNumberFormat="1" applyFont="1" applyFill="1" applyBorder="1" applyAlignment="1" applyProtection="1">
      <alignment horizontal="right" vertical="center"/>
      <protection locked="0"/>
    </xf>
    <xf numFmtId="0" fontId="23" fillId="3" borderId="1" xfId="0" applyFont="1" applyFill="1" applyBorder="1" applyAlignment="1">
      <alignment horizontal="left" vertical="center" wrapText="1" indent="21"/>
    </xf>
    <xf numFmtId="4" fontId="23" fillId="4" borderId="1" xfId="0" applyNumberFormat="1" applyFont="1" applyFill="1" applyBorder="1" applyAlignment="1" applyProtection="1">
      <alignment horizontal="right" vertical="center"/>
      <protection locked="0"/>
    </xf>
    <xf numFmtId="0" fontId="7" fillId="4" borderId="1" xfId="0" applyFont="1" applyFill="1" applyBorder="1" applyAlignment="1">
      <alignment horizontal="left" vertical="center" wrapText="1"/>
    </xf>
    <xf numFmtId="0" fontId="10" fillId="4" borderId="1" xfId="0" applyFont="1" applyFill="1" applyBorder="1" applyAlignment="1">
      <alignment horizontal="center" vertical="top" wrapText="1"/>
    </xf>
    <xf numFmtId="0" fontId="1" fillId="0" borderId="1" xfId="0" applyFont="1" applyFill="1" applyBorder="1"/>
    <xf numFmtId="0" fontId="1" fillId="0" borderId="6" xfId="0" applyFont="1" applyBorder="1"/>
    <xf numFmtId="0" fontId="1" fillId="0" borderId="2" xfId="0" applyFont="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4" fillId="0" borderId="11" xfId="0" applyFont="1" applyFill="1" applyBorder="1"/>
    <xf numFmtId="0" fontId="1" fillId="0" borderId="13" xfId="0" applyFont="1" applyBorder="1"/>
    <xf numFmtId="0" fontId="1" fillId="0" borderId="6" xfId="0" applyFont="1" applyFill="1" applyBorder="1"/>
    <xf numFmtId="0" fontId="1" fillId="0" borderId="2" xfId="0" applyFont="1" applyFill="1" applyBorder="1"/>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13" xfId="0" applyFont="1" applyFill="1" applyBorder="1"/>
    <xf numFmtId="164" fontId="10" fillId="2" borderId="1" xfId="0" applyNumberFormat="1" applyFont="1" applyFill="1" applyBorder="1" applyAlignment="1">
      <alignment horizontal="center" vertical="top" wrapText="1"/>
    </xf>
    <xf numFmtId="0" fontId="27" fillId="0" borderId="0" xfId="0" applyFont="1" applyAlignment="1">
      <alignment horizontal="justify" vertical="center"/>
    </xf>
    <xf numFmtId="4" fontId="9" fillId="0" borderId="1" xfId="1" applyNumberFormat="1" applyFont="1" applyFill="1" applyBorder="1" applyAlignment="1">
      <alignment horizontal="right" vertical="center"/>
    </xf>
    <xf numFmtId="0" fontId="9" fillId="0" borderId="1" xfId="1" applyFont="1" applyFill="1" applyBorder="1" applyAlignment="1">
      <alignment horizontal="left" vertical="center" wrapText="1"/>
    </xf>
    <xf numFmtId="0" fontId="8" fillId="0" borderId="0" xfId="1" applyFont="1" applyAlignment="1">
      <alignment horizontal="center" vertical="center"/>
    </xf>
    <xf numFmtId="0" fontId="11" fillId="0" borderId="0" xfId="1" applyFont="1" applyFill="1" applyAlignment="1">
      <alignment horizontal="left" vertical="center" wrapText="1"/>
    </xf>
    <xf numFmtId="0" fontId="9" fillId="0" borderId="5" xfId="0" applyFont="1" applyBorder="1" applyAlignment="1">
      <alignment horizontal="left" vertical="top" wrapText="1"/>
    </xf>
    <xf numFmtId="0" fontId="4"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4" xfId="0" applyFont="1" applyFill="1" applyBorder="1" applyAlignment="1">
      <alignment horizontal="center" vertical="top" wrapText="1"/>
    </xf>
    <xf numFmtId="0" fontId="1" fillId="0" borderId="15" xfId="0" applyFont="1" applyFill="1" applyBorder="1" applyAlignment="1">
      <alignment horizontal="center" vertical="top"/>
    </xf>
    <xf numFmtId="0" fontId="4" fillId="0" borderId="1" xfId="1"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top" wrapText="1"/>
    </xf>
    <xf numFmtId="0" fontId="1" fillId="0" borderId="15" xfId="0" applyFont="1" applyBorder="1" applyAlignment="1">
      <alignment horizontal="center" vertical="top"/>
    </xf>
    <xf numFmtId="0" fontId="25" fillId="0" borderId="11"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13" xfId="0" applyFont="1" applyFill="1" applyBorder="1" applyAlignment="1">
      <alignment horizontal="left" vertical="top" wrapText="1"/>
    </xf>
    <xf numFmtId="0" fontId="13" fillId="0" borderId="3"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0" fontId="21" fillId="0" borderId="0" xfId="0" applyFont="1" applyAlignment="1">
      <alignment horizontal="left" vertical="top" wrapText="1"/>
    </xf>
    <xf numFmtId="0" fontId="12" fillId="0" borderId="4" xfId="0" applyFont="1" applyFill="1" applyBorder="1" applyAlignment="1">
      <alignment horizontal="center" vertical="top" wrapText="1"/>
    </xf>
    <xf numFmtId="0" fontId="12" fillId="0" borderId="6"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4" fontId="21" fillId="0" borderId="0" xfId="0" applyNumberFormat="1" applyFont="1" applyAlignment="1">
      <alignment horizontal="center" vertical="top" readingOrder="1"/>
    </xf>
    <xf numFmtId="0" fontId="9" fillId="2" borderId="1" xfId="0" applyFont="1" applyFill="1" applyBorder="1" applyAlignment="1">
      <alignment horizontal="left" vertical="center" wrapText="1"/>
    </xf>
  </cellXfs>
  <cellStyles count="7">
    <cellStyle name="Excel Built-in Normal" xfId="6"/>
    <cellStyle name="Обычный" xfId="0" builtinId="0"/>
    <cellStyle name="Обычный 15" xfId="5"/>
    <cellStyle name="Обычный 17" xfId="4"/>
    <cellStyle name="Обычный 2" xfId="2"/>
    <cellStyle name="Обычный 3" xfId="1"/>
    <cellStyle name="Обычный 4"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38100</xdr:colOff>
      <xdr:row>9</xdr:row>
      <xdr:rowOff>28575</xdr:rowOff>
    </xdr:from>
    <xdr:to>
      <xdr:col>2</xdr:col>
      <xdr:colOff>2678206</xdr:colOff>
      <xdr:row>9</xdr:row>
      <xdr:rowOff>533400</xdr:rowOff>
    </xdr:to>
    <xdr:pic>
      <xdr:nvPicPr>
        <xdr:cNvPr id="2" name="Рисунок 1" descr="base_1_383133_32772">
          <a:extLst>
            <a:ext uri="{FF2B5EF4-FFF2-40B4-BE49-F238E27FC236}">
              <a16:creationId xmlns:a16="http://schemas.microsoft.com/office/drawing/2014/main" id="{578027AE-04C7-48B9-B7CD-B377876EBFD3}"/>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1276" y="6023722"/>
          <a:ext cx="2640106"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177053</xdr:colOff>
      <xdr:row>12</xdr:row>
      <xdr:rowOff>57150</xdr:rowOff>
    </xdr:from>
    <xdr:to>
      <xdr:col>2</xdr:col>
      <xdr:colOff>2442883</xdr:colOff>
      <xdr:row>12</xdr:row>
      <xdr:rowOff>438149</xdr:rowOff>
    </xdr:to>
    <xdr:pic>
      <xdr:nvPicPr>
        <xdr:cNvPr id="3" name="Рисунок 2" descr="base_1_383133_32769">
          <a:extLst>
            <a:ext uri="{FF2B5EF4-FFF2-40B4-BE49-F238E27FC236}">
              <a16:creationId xmlns:a16="http://schemas.microsoft.com/office/drawing/2014/main" id="{EDA45275-93D8-4DA6-A8DE-10093B2B643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0229" y="7217709"/>
          <a:ext cx="2265830"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1119</xdr:colOff>
      <xdr:row>17</xdr:row>
      <xdr:rowOff>44824</xdr:rowOff>
    </xdr:from>
    <xdr:to>
      <xdr:col>2</xdr:col>
      <xdr:colOff>2655794</xdr:colOff>
      <xdr:row>17</xdr:row>
      <xdr:rowOff>437030</xdr:rowOff>
    </xdr:to>
    <xdr:pic>
      <xdr:nvPicPr>
        <xdr:cNvPr id="4" name="Рисунок 3" descr="base_1_383133_32770">
          <a:extLst>
            <a:ext uri="{FF2B5EF4-FFF2-40B4-BE49-F238E27FC236}">
              <a16:creationId xmlns:a16="http://schemas.microsoft.com/office/drawing/2014/main" id="{B0E1B472-A45E-484F-A58B-0CCD9603907C}"/>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4295" y="8258736"/>
          <a:ext cx="2654675" cy="392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4</xdr:row>
      <xdr:rowOff>304799</xdr:rowOff>
    </xdr:from>
    <xdr:to>
      <xdr:col>2</xdr:col>
      <xdr:colOff>4648199</xdr:colOff>
      <xdr:row>4</xdr:row>
      <xdr:rowOff>962024</xdr:rowOff>
    </xdr:to>
    <xdr:pic>
      <xdr:nvPicPr>
        <xdr:cNvPr id="2" name="Рисунок 1" descr="base_1_383133_32768">
          <a:extLst>
            <a:ext uri="{FF2B5EF4-FFF2-40B4-BE49-F238E27FC236}">
              <a16:creationId xmlns:a16="http://schemas.microsoft.com/office/drawing/2014/main" id="{989C1691-4DDC-425C-80B6-AF4AFDB8ECD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9424" y="1809749"/>
          <a:ext cx="4638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10" zoomScaleNormal="100" workbookViewId="0">
      <selection activeCell="D5" sqref="D5"/>
    </sheetView>
  </sheetViews>
  <sheetFormatPr defaultColWidth="9.140625" defaultRowHeight="15"/>
  <cols>
    <col min="1" max="1" width="68.5703125" style="2" customWidth="1"/>
    <col min="2" max="2" width="118.5703125" style="2" customWidth="1"/>
    <col min="3" max="3" width="9.140625" style="2"/>
    <col min="4" max="4" width="12.140625" style="2" customWidth="1"/>
    <col min="5" max="16384" width="9.140625" style="2"/>
  </cols>
  <sheetData>
    <row r="1" spans="1:6" ht="18.75">
      <c r="A1" s="88" t="s">
        <v>15</v>
      </c>
      <c r="B1" s="88"/>
      <c r="C1" s="8"/>
      <c r="D1" s="8"/>
      <c r="E1" s="8"/>
      <c r="F1" s="8"/>
    </row>
    <row r="2" spans="1:6" ht="18.75">
      <c r="A2" s="12" t="s">
        <v>21</v>
      </c>
      <c r="B2" s="13"/>
      <c r="C2" s="8"/>
      <c r="D2" s="8"/>
      <c r="E2" s="8"/>
      <c r="F2" s="8"/>
    </row>
    <row r="3" spans="1:6" ht="26.25" customHeight="1">
      <c r="A3" s="12"/>
      <c r="B3" s="12"/>
    </row>
    <row r="4" spans="1:6" ht="49.5" customHeight="1">
      <c r="A4" s="14" t="s">
        <v>28</v>
      </c>
      <c r="B4" s="120" t="s">
        <v>67</v>
      </c>
    </row>
    <row r="5" spans="1:6" ht="48" customHeight="1">
      <c r="A5" s="90" t="s">
        <v>74</v>
      </c>
      <c r="B5" s="90"/>
    </row>
    <row r="6" spans="1:6" ht="15.75">
      <c r="A6" s="11" t="s">
        <v>16</v>
      </c>
      <c r="B6" s="11" t="s">
        <v>17</v>
      </c>
    </row>
    <row r="7" spans="1:6" ht="44.25" customHeight="1">
      <c r="A7" s="15" t="s">
        <v>18</v>
      </c>
      <c r="B7" s="16" t="s">
        <v>19</v>
      </c>
    </row>
    <row r="8" spans="1:6" ht="167.25" customHeight="1">
      <c r="A8" s="17" t="s">
        <v>20</v>
      </c>
      <c r="B8" s="17" t="s">
        <v>36</v>
      </c>
    </row>
    <row r="9" spans="1:6" ht="35.25" customHeight="1">
      <c r="A9" s="87" t="s">
        <v>55</v>
      </c>
      <c r="B9" s="86">
        <f>'Расчет НМЦК_сумма'!F13</f>
        <v>5612996.6323199999</v>
      </c>
    </row>
    <row r="10" spans="1:6" ht="15.75">
      <c r="A10" s="12"/>
      <c r="B10" s="12"/>
    </row>
    <row r="11" spans="1:6" ht="149.25" customHeight="1">
      <c r="A11" s="89" t="s">
        <v>73</v>
      </c>
      <c r="B11" s="89"/>
    </row>
    <row r="14" spans="1:6" ht="15.75">
      <c r="A14" s="85" t="s">
        <v>58</v>
      </c>
    </row>
  </sheetData>
  <mergeCells count="3">
    <mergeCell ref="A1:B1"/>
    <mergeCell ref="A11:B11"/>
    <mergeCell ref="A5:B5"/>
  </mergeCells>
  <pageMargins left="0.2" right="0.2" top="0.18" bottom="0.17" header="0.17" footer="0.17"/>
  <pageSetup paperSize="9" scale="5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7" zoomScale="85" zoomScaleNormal="85" workbookViewId="0">
      <selection activeCell="I12" sqref="I12"/>
    </sheetView>
  </sheetViews>
  <sheetFormatPr defaultColWidth="9.140625" defaultRowHeight="15"/>
  <cols>
    <col min="1" max="1" width="7.28515625" style="27" customWidth="1"/>
    <col min="2" max="2" width="37.85546875" style="27" customWidth="1"/>
    <col min="3" max="3" width="73.85546875" style="27" customWidth="1"/>
    <col min="4" max="4" width="12.7109375" style="27" customWidth="1"/>
    <col min="5" max="5" width="18.85546875" style="27" customWidth="1"/>
    <col min="6" max="6" width="19.7109375" style="27" customWidth="1"/>
    <col min="7" max="16384" width="9.140625" style="27"/>
  </cols>
  <sheetData>
    <row r="1" spans="1:9" ht="18.75">
      <c r="A1" s="91" t="s">
        <v>15</v>
      </c>
      <c r="B1" s="91"/>
      <c r="C1" s="91"/>
      <c r="D1" s="91"/>
      <c r="E1" s="91"/>
      <c r="F1" s="91"/>
    </row>
    <row r="2" spans="1:9" ht="15.75" thickBot="1">
      <c r="A2" s="80" t="s">
        <v>22</v>
      </c>
      <c r="B2" s="80"/>
      <c r="C2" s="80"/>
      <c r="D2" s="80"/>
      <c r="E2" s="72"/>
      <c r="F2" s="72"/>
    </row>
    <row r="3" spans="1:9" ht="52.5" customHeight="1" thickBot="1">
      <c r="A3" s="77"/>
      <c r="B3" s="93" t="s">
        <v>61</v>
      </c>
      <c r="C3" s="94"/>
      <c r="D3" s="83"/>
      <c r="E3" s="79"/>
      <c r="F3" s="72"/>
    </row>
    <row r="4" spans="1:9" ht="69.75" customHeight="1">
      <c r="A4" s="81" t="s">
        <v>0</v>
      </c>
      <c r="B4" s="81" t="s">
        <v>1</v>
      </c>
      <c r="C4" s="81" t="s">
        <v>26</v>
      </c>
      <c r="D4" s="82" t="s">
        <v>31</v>
      </c>
      <c r="E4" s="5" t="s">
        <v>2</v>
      </c>
      <c r="F4" s="5" t="s">
        <v>35</v>
      </c>
      <c r="G4" s="38"/>
      <c r="H4" s="38"/>
    </row>
    <row r="5" spans="1:9" ht="124.5" customHeight="1">
      <c r="A5" s="24">
        <v>1</v>
      </c>
      <c r="B5" s="25" t="s">
        <v>3</v>
      </c>
      <c r="C5" s="25" t="s">
        <v>60</v>
      </c>
      <c r="D5" s="25" t="s">
        <v>34</v>
      </c>
      <c r="E5" s="23">
        <f>1+0.1</f>
        <v>1.1000000000000001</v>
      </c>
      <c r="F5" s="26">
        <f t="shared" ref="F5:F12" si="0">ROUND(E5,2)</f>
        <v>1.1000000000000001</v>
      </c>
    </row>
    <row r="6" spans="1:9" ht="137.25" customHeight="1">
      <c r="A6" s="24">
        <v>2</v>
      </c>
      <c r="B6" s="25" t="s">
        <v>5</v>
      </c>
      <c r="C6" s="25" t="s">
        <v>70</v>
      </c>
      <c r="D6" s="25" t="s">
        <v>32</v>
      </c>
      <c r="E6" s="23">
        <f>16242/164.4</f>
        <v>98.795620437956202</v>
      </c>
      <c r="F6" s="26">
        <f t="shared" si="0"/>
        <v>98.8</v>
      </c>
    </row>
    <row r="7" spans="1:9" ht="30">
      <c r="A7" s="24">
        <v>3</v>
      </c>
      <c r="B7" s="28" t="s">
        <v>6</v>
      </c>
      <c r="C7" s="25" t="s">
        <v>7</v>
      </c>
      <c r="D7" s="25" t="s">
        <v>32</v>
      </c>
      <c r="E7" s="29">
        <f>F6*0.2/3</f>
        <v>6.5866666666666669</v>
      </c>
      <c r="F7" s="26">
        <f t="shared" si="0"/>
        <v>6.59</v>
      </c>
    </row>
    <row r="8" spans="1:9" ht="150.75" customHeight="1">
      <c r="A8" s="24">
        <v>4</v>
      </c>
      <c r="B8" s="25" t="s">
        <v>8</v>
      </c>
      <c r="C8" s="30" t="s">
        <v>49</v>
      </c>
      <c r="D8" s="25" t="s">
        <v>32</v>
      </c>
      <c r="E8" s="23">
        <f>F6*(14/365)</f>
        <v>3.7895890410958906</v>
      </c>
      <c r="F8" s="26">
        <f t="shared" si="0"/>
        <v>3.79</v>
      </c>
    </row>
    <row r="9" spans="1:9" ht="41.25" customHeight="1">
      <c r="A9" s="44">
        <v>5</v>
      </c>
      <c r="B9" s="45" t="s">
        <v>23</v>
      </c>
      <c r="C9" s="45" t="s">
        <v>24</v>
      </c>
      <c r="D9" s="45" t="s">
        <v>32</v>
      </c>
      <c r="E9" s="46">
        <f>(F6+F7+F8)*0.15</f>
        <v>16.376999999999999</v>
      </c>
      <c r="F9" s="32">
        <f t="shared" si="0"/>
        <v>16.38</v>
      </c>
    </row>
    <row r="10" spans="1:9" ht="44.25" customHeight="1">
      <c r="A10" s="24">
        <v>6</v>
      </c>
      <c r="B10" s="25" t="s">
        <v>9</v>
      </c>
      <c r="C10" s="25"/>
      <c r="D10" s="25" t="s">
        <v>32</v>
      </c>
      <c r="E10" s="31">
        <f>(F6+F7+F8+F9)/12</f>
        <v>10.463333333333333</v>
      </c>
      <c r="F10" s="26">
        <f t="shared" si="0"/>
        <v>10.46</v>
      </c>
    </row>
    <row r="11" spans="1:9" ht="30">
      <c r="A11" s="24">
        <v>7</v>
      </c>
      <c r="B11" s="25" t="s">
        <v>4</v>
      </c>
      <c r="C11" s="25" t="s">
        <v>27</v>
      </c>
      <c r="D11" s="25" t="s">
        <v>32</v>
      </c>
      <c r="E11" s="31">
        <f>(F6+F7+F8+F9+F10)*0.302</f>
        <v>41.078040000000001</v>
      </c>
      <c r="F11" s="26">
        <f t="shared" si="0"/>
        <v>41.08</v>
      </c>
    </row>
    <row r="12" spans="1:9" ht="18" customHeight="1">
      <c r="A12" s="24">
        <v>8</v>
      </c>
      <c r="B12" s="39" t="s">
        <v>51</v>
      </c>
      <c r="C12" s="25" t="s">
        <v>10</v>
      </c>
      <c r="D12" s="25" t="s">
        <v>32</v>
      </c>
      <c r="E12" s="31">
        <f>(F6+F7+F8+F9+F10+F11)*F5</f>
        <v>194.81000000000003</v>
      </c>
      <c r="F12" s="34">
        <f t="shared" si="0"/>
        <v>194.81</v>
      </c>
    </row>
    <row r="13" spans="1:9" ht="41.25" customHeight="1">
      <c r="A13" s="92">
        <v>9</v>
      </c>
      <c r="B13" s="39" t="s">
        <v>11</v>
      </c>
      <c r="C13" s="25" t="s">
        <v>62</v>
      </c>
      <c r="D13" s="25" t="s">
        <v>32</v>
      </c>
      <c r="E13" s="31">
        <f>F12*F14*0.2</f>
        <v>742459.87199999997</v>
      </c>
      <c r="F13" s="34">
        <f>E13</f>
        <v>742459.87199999997</v>
      </c>
      <c r="H13" s="2"/>
      <c r="I13" s="2"/>
    </row>
    <row r="14" spans="1:9" ht="33.75" customHeight="1">
      <c r="A14" s="92"/>
      <c r="B14" s="47" t="s">
        <v>25</v>
      </c>
      <c r="C14" s="70" t="s">
        <v>72</v>
      </c>
      <c r="D14" s="48" t="s">
        <v>33</v>
      </c>
      <c r="E14" s="57">
        <f>E15+E16+E17</f>
        <v>19056</v>
      </c>
      <c r="F14" s="66">
        <f>E14</f>
        <v>19056</v>
      </c>
      <c r="H14" s="2"/>
      <c r="I14" s="2"/>
    </row>
    <row r="15" spans="1:9" ht="20.25" customHeight="1">
      <c r="A15" s="24"/>
      <c r="B15" s="47"/>
      <c r="C15" s="68" t="s">
        <v>53</v>
      </c>
      <c r="D15" s="62" t="s">
        <v>33</v>
      </c>
      <c r="E15" s="69">
        <v>1472</v>
      </c>
      <c r="F15" s="67">
        <f t="shared" ref="F15:F16" si="1">E15</f>
        <v>1472</v>
      </c>
      <c r="H15" s="2"/>
      <c r="I15" s="2"/>
    </row>
    <row r="16" spans="1:9" ht="20.25" customHeight="1">
      <c r="A16" s="24"/>
      <c r="B16" s="47"/>
      <c r="C16" s="68" t="s">
        <v>54</v>
      </c>
      <c r="D16" s="62" t="s">
        <v>33</v>
      </c>
      <c r="E16" s="69">
        <v>17584</v>
      </c>
      <c r="F16" s="67">
        <f t="shared" si="1"/>
        <v>17584</v>
      </c>
      <c r="H16" s="2"/>
      <c r="I16" s="2"/>
    </row>
    <row r="17" spans="1:9" ht="20.25" customHeight="1">
      <c r="A17" s="24"/>
      <c r="B17" s="47"/>
      <c r="C17" s="68"/>
      <c r="D17" s="62" t="s">
        <v>33</v>
      </c>
      <c r="E17" s="63">
        <v>0</v>
      </c>
      <c r="F17" s="67">
        <f>E17</f>
        <v>0</v>
      </c>
      <c r="H17" s="2"/>
      <c r="I17" s="2"/>
    </row>
    <row r="18" spans="1:9" ht="35.25" customHeight="1">
      <c r="A18" s="24">
        <v>10</v>
      </c>
      <c r="B18" s="25" t="s">
        <v>12</v>
      </c>
      <c r="C18" s="36" t="s">
        <v>52</v>
      </c>
      <c r="D18" s="36" t="s">
        <v>32</v>
      </c>
      <c r="E18" s="37">
        <f>((F12*F14)+F13)*0.05</f>
        <v>222737.96160000001</v>
      </c>
      <c r="F18" s="33">
        <f>E18</f>
        <v>222737.96160000001</v>
      </c>
      <c r="H18" s="2"/>
      <c r="I18" s="2"/>
    </row>
    <row r="19" spans="1:9" s="40" customFormat="1" ht="39.75" customHeight="1">
      <c r="A19" s="42"/>
      <c r="B19" s="42"/>
      <c r="C19" s="41" t="s">
        <v>37</v>
      </c>
      <c r="D19" s="42" t="s">
        <v>32</v>
      </c>
      <c r="E19" s="43">
        <f>(F14*F12)+F13+F18</f>
        <v>4677497.1935999999</v>
      </c>
      <c r="F19" s="43">
        <f>E19</f>
        <v>4677497.1935999999</v>
      </c>
      <c r="H19" s="2"/>
      <c r="I19" s="2"/>
    </row>
    <row r="20" spans="1:9">
      <c r="H20" s="2"/>
      <c r="I20" s="2"/>
    </row>
  </sheetData>
  <mergeCells count="3">
    <mergeCell ref="A1:F1"/>
    <mergeCell ref="A13:A14"/>
    <mergeCell ref="B3:C3"/>
  </mergeCells>
  <pageMargins left="0.2" right="0.2" top="0.17" bottom="0.17" header="0.17" footer="0.17"/>
  <pageSetup paperSize="9" scale="66"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zoomScale="85" zoomScaleNormal="85" workbookViewId="0">
      <selection activeCell="E5" sqref="E5"/>
    </sheetView>
  </sheetViews>
  <sheetFormatPr defaultColWidth="9.140625" defaultRowHeight="15"/>
  <cols>
    <col min="1" max="1" width="7.28515625" style="2" customWidth="1"/>
    <col min="2" max="2" width="37.85546875" style="2" customWidth="1"/>
    <col min="3" max="3" width="73.85546875" style="2" customWidth="1"/>
    <col min="4" max="4" width="12.7109375" style="2" customWidth="1"/>
    <col min="5" max="5" width="18.85546875" style="2" customWidth="1"/>
    <col min="6" max="6" width="19.7109375" style="2" customWidth="1"/>
    <col min="7" max="7" width="9.140625" style="2"/>
    <col min="8" max="8" width="16.7109375" style="2" customWidth="1"/>
    <col min="9" max="16384" width="9.140625" style="2"/>
  </cols>
  <sheetData>
    <row r="1" spans="1:6" ht="18.75">
      <c r="A1" s="95" t="s">
        <v>15</v>
      </c>
      <c r="B1" s="95"/>
      <c r="C1" s="95"/>
      <c r="D1" s="95"/>
      <c r="E1" s="95"/>
      <c r="F1" s="95"/>
    </row>
    <row r="2" spans="1:6" ht="15.75" thickBot="1">
      <c r="A2" s="74" t="s">
        <v>22</v>
      </c>
      <c r="B2" s="74"/>
      <c r="C2" s="74"/>
      <c r="D2" s="74"/>
      <c r="E2" s="1"/>
      <c r="F2" s="1"/>
    </row>
    <row r="3" spans="1:6" ht="48" customHeight="1" thickBot="1">
      <c r="A3" s="77"/>
      <c r="B3" s="97" t="s">
        <v>63</v>
      </c>
      <c r="C3" s="98"/>
      <c r="D3" s="78"/>
      <c r="E3" s="73"/>
      <c r="F3" s="1"/>
    </row>
    <row r="4" spans="1:6" ht="69.75" customHeight="1">
      <c r="A4" s="75" t="s">
        <v>0</v>
      </c>
      <c r="B4" s="75" t="s">
        <v>1</v>
      </c>
      <c r="C4" s="75" t="s">
        <v>26</v>
      </c>
      <c r="D4" s="76" t="s">
        <v>31</v>
      </c>
      <c r="E4" s="5" t="s">
        <v>2</v>
      </c>
      <c r="F4" s="5" t="s">
        <v>35</v>
      </c>
    </row>
    <row r="5" spans="1:6" ht="76.5" customHeight="1">
      <c r="A5" s="96">
        <v>1</v>
      </c>
      <c r="B5" s="3" t="s">
        <v>13</v>
      </c>
      <c r="C5" s="7"/>
      <c r="D5" s="3" t="s">
        <v>38</v>
      </c>
      <c r="E5" s="4">
        <f>'Расчет НМЦК_24 ч_КТРУ 003'!F19</f>
        <v>4677497.1935999999</v>
      </c>
      <c r="F5" s="4">
        <f>E5</f>
        <v>4677497.1935999999</v>
      </c>
    </row>
    <row r="6" spans="1:6" ht="159" customHeight="1">
      <c r="A6" s="96"/>
      <c r="B6" s="1"/>
      <c r="C6" s="9" t="s">
        <v>66</v>
      </c>
      <c r="D6" s="3" t="s">
        <v>34</v>
      </c>
      <c r="E6" s="60">
        <f>(E7*'Расчет НМЦК_24 ч_КТРУ 003'!E15+E8*'Расчет НМЦК_24 ч_КТРУ 003'!E16)/'Расчет НМЦК_24 ч_КТРУ 003'!E14</f>
        <v>1</v>
      </c>
      <c r="F6" s="18"/>
    </row>
    <row r="7" spans="1:6" ht="20.100000000000001" customHeight="1">
      <c r="A7" s="96"/>
      <c r="B7" s="1"/>
      <c r="C7" s="61" t="s">
        <v>50</v>
      </c>
      <c r="D7" s="3"/>
      <c r="E7" s="64">
        <v>1</v>
      </c>
      <c r="F7" s="18"/>
    </row>
    <row r="8" spans="1:6" ht="20.100000000000001" customHeight="1">
      <c r="A8" s="96"/>
      <c r="B8" s="1"/>
      <c r="C8" s="61" t="s">
        <v>71</v>
      </c>
      <c r="D8" s="3"/>
      <c r="E8" s="64">
        <v>1</v>
      </c>
      <c r="F8" s="18"/>
    </row>
    <row r="9" spans="1:6" ht="20.100000000000001" customHeight="1">
      <c r="A9" s="96"/>
      <c r="B9" s="1"/>
      <c r="C9" s="61"/>
      <c r="D9" s="3"/>
      <c r="E9" s="64"/>
      <c r="F9" s="18"/>
    </row>
    <row r="10" spans="1:6" ht="20.100000000000001" customHeight="1">
      <c r="A10" s="96"/>
      <c r="B10" s="1"/>
      <c r="C10" s="58"/>
      <c r="D10" s="59"/>
      <c r="E10" s="1"/>
      <c r="F10" s="18"/>
    </row>
    <row r="11" spans="1:6" ht="15.75" customHeight="1">
      <c r="A11" s="96"/>
      <c r="B11" s="1" t="s">
        <v>14</v>
      </c>
      <c r="C11" s="3"/>
      <c r="D11" s="3" t="s">
        <v>32</v>
      </c>
      <c r="E11" s="65">
        <f>E5*E6</f>
        <v>4677497.1935999999</v>
      </c>
      <c r="F11" s="35">
        <f>E11</f>
        <v>4677497.1935999999</v>
      </c>
    </row>
    <row r="12" spans="1:6">
      <c r="A12" s="96"/>
      <c r="B12" s="3" t="s">
        <v>29</v>
      </c>
      <c r="C12" s="10" t="s">
        <v>30</v>
      </c>
      <c r="D12" s="3" t="s">
        <v>32</v>
      </c>
      <c r="E12" s="35">
        <f>F11*0.2</f>
        <v>935499.43871999998</v>
      </c>
      <c r="F12" s="35">
        <f>E12</f>
        <v>935499.43871999998</v>
      </c>
    </row>
    <row r="13" spans="1:6">
      <c r="A13" s="96"/>
      <c r="B13" s="6" t="s">
        <v>56</v>
      </c>
      <c r="C13" s="3"/>
      <c r="D13" s="3" t="s">
        <v>32</v>
      </c>
      <c r="E13" s="49"/>
      <c r="F13" s="50">
        <f>F12+F11</f>
        <v>5612996.6323199999</v>
      </c>
    </row>
  </sheetData>
  <mergeCells count="3">
    <mergeCell ref="A1:F1"/>
    <mergeCell ref="A5:A13"/>
    <mergeCell ref="B3:C3"/>
  </mergeCells>
  <pageMargins left="0.2" right="0.2" top="0.17" bottom="0.17" header="0.17" footer="0.17"/>
  <pageSetup paperSize="9" scale="66"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A4" zoomScaleNormal="100" zoomScaleSheetLayoutView="100" workbookViewId="0">
      <selection activeCell="K8" sqref="K8"/>
    </sheetView>
  </sheetViews>
  <sheetFormatPr defaultColWidth="9.140625" defaultRowHeight="15"/>
  <cols>
    <col min="1" max="1" width="5.7109375" style="19" customWidth="1"/>
    <col min="2" max="2" width="15.28515625" style="19" customWidth="1"/>
    <col min="3" max="3" width="12.140625" style="19" customWidth="1"/>
    <col min="4" max="4" width="3.28515625" style="19" customWidth="1"/>
    <col min="5" max="5" width="12.5703125" style="19" customWidth="1"/>
    <col min="6" max="6" width="10.42578125" style="19" customWidth="1"/>
    <col min="7" max="7" width="9.28515625" style="19" customWidth="1"/>
    <col min="8" max="8" width="9.7109375" style="19" customWidth="1"/>
    <col min="9" max="9" width="17.5703125" style="19" customWidth="1"/>
    <col min="10" max="10" width="11.28515625" style="19" customWidth="1"/>
    <col min="11" max="11" width="16.140625" style="19" customWidth="1"/>
    <col min="12" max="12" width="14.7109375" style="19" customWidth="1"/>
    <col min="13" max="13" width="19" style="19" customWidth="1"/>
    <col min="14" max="14" width="9.140625" style="19"/>
    <col min="15" max="15" width="16.140625" style="19" customWidth="1"/>
    <col min="16" max="16384" width="9.140625" style="19"/>
  </cols>
  <sheetData>
    <row r="1" spans="1:11" ht="50.25" customHeight="1" thickBot="1">
      <c r="A1" s="99" t="s">
        <v>63</v>
      </c>
      <c r="B1" s="100"/>
      <c r="C1" s="100"/>
      <c r="D1" s="100"/>
      <c r="E1" s="100"/>
      <c r="F1" s="100"/>
      <c r="G1" s="100"/>
      <c r="H1" s="100"/>
      <c r="I1" s="100"/>
      <c r="J1" s="100"/>
      <c r="K1" s="101"/>
    </row>
    <row r="2" spans="1:11" ht="20.25" customHeight="1">
      <c r="A2" s="102" t="s">
        <v>39</v>
      </c>
      <c r="B2" s="102"/>
      <c r="C2" s="102"/>
      <c r="D2" s="102"/>
      <c r="E2" s="102"/>
      <c r="F2" s="102"/>
      <c r="G2" s="102"/>
      <c r="H2" s="102"/>
      <c r="I2" s="102"/>
      <c r="J2" s="102"/>
      <c r="K2" s="102"/>
    </row>
    <row r="3" spans="1:11" ht="59.25" customHeight="1">
      <c r="A3" s="103" t="s">
        <v>40</v>
      </c>
      <c r="B3" s="103"/>
      <c r="C3" s="103"/>
      <c r="D3" s="103"/>
      <c r="E3" s="103"/>
      <c r="F3" s="103"/>
      <c r="G3" s="103"/>
      <c r="H3" s="103"/>
      <c r="I3" s="103"/>
      <c r="J3" s="103"/>
      <c r="K3" s="103"/>
    </row>
    <row r="4" spans="1:11" ht="29.25" customHeight="1">
      <c r="A4" s="104" t="s">
        <v>64</v>
      </c>
      <c r="B4" s="105"/>
      <c r="C4" s="105"/>
      <c r="D4" s="105"/>
      <c r="E4" s="105"/>
      <c r="F4" s="105"/>
      <c r="G4" s="105"/>
      <c r="H4" s="105"/>
      <c r="I4" s="105"/>
      <c r="J4" s="105"/>
      <c r="K4" s="106"/>
    </row>
    <row r="5" spans="1:11" ht="15" customHeight="1">
      <c r="A5" s="107" t="s">
        <v>0</v>
      </c>
      <c r="B5" s="107" t="s">
        <v>41</v>
      </c>
      <c r="C5" s="108" t="s">
        <v>42</v>
      </c>
      <c r="D5" s="109"/>
      <c r="E5" s="107" t="s">
        <v>43</v>
      </c>
      <c r="F5" s="107" t="s">
        <v>44</v>
      </c>
      <c r="G5" s="107" t="s">
        <v>31</v>
      </c>
      <c r="H5" s="107" t="s">
        <v>45</v>
      </c>
      <c r="I5" s="107" t="s">
        <v>59</v>
      </c>
      <c r="J5" s="112" t="s">
        <v>68</v>
      </c>
      <c r="K5" s="112" t="s">
        <v>57</v>
      </c>
    </row>
    <row r="6" spans="1:11" ht="131.25" customHeight="1">
      <c r="A6" s="102"/>
      <c r="B6" s="102"/>
      <c r="C6" s="110"/>
      <c r="D6" s="111"/>
      <c r="E6" s="102"/>
      <c r="F6" s="102"/>
      <c r="G6" s="102"/>
      <c r="H6" s="102"/>
      <c r="I6" s="102"/>
      <c r="J6" s="113"/>
      <c r="K6" s="113"/>
    </row>
    <row r="7" spans="1:11" ht="53.25" customHeight="1">
      <c r="A7" s="20">
        <v>1</v>
      </c>
      <c r="B7" s="20" t="s">
        <v>65</v>
      </c>
      <c r="C7" s="115" t="s">
        <v>46</v>
      </c>
      <c r="D7" s="116"/>
      <c r="E7" s="56">
        <v>24</v>
      </c>
      <c r="F7" s="71">
        <v>2</v>
      </c>
      <c r="G7" s="21" t="s">
        <v>47</v>
      </c>
      <c r="H7" s="53">
        <f>'Расчет НМЦК_24 ч_КТРУ 003'!E14</f>
        <v>19056</v>
      </c>
      <c r="I7" s="84">
        <f>'Расчет НМЦК_сумма'!F13/H7</f>
        <v>294.55271999999997</v>
      </c>
      <c r="J7" s="54">
        <v>145</v>
      </c>
      <c r="K7" s="55">
        <f>H7*J7</f>
        <v>2763120</v>
      </c>
    </row>
    <row r="8" spans="1:11" ht="18" customHeight="1">
      <c r="A8" s="117">
        <v>145</v>
      </c>
      <c r="B8" s="118"/>
      <c r="C8" s="118"/>
      <c r="D8" s="118"/>
      <c r="E8" s="118"/>
      <c r="F8" s="118"/>
      <c r="G8" s="118"/>
      <c r="H8" s="118"/>
      <c r="I8" s="118"/>
      <c r="J8" s="118"/>
      <c r="K8" s="52">
        <f>ROUND(K7,2)</f>
        <v>2763120</v>
      </c>
    </row>
    <row r="9" spans="1:11">
      <c r="A9" s="22"/>
      <c r="B9" s="22"/>
      <c r="C9" s="22"/>
      <c r="D9" s="22"/>
      <c r="E9" s="22"/>
      <c r="F9" s="22"/>
      <c r="G9" s="22"/>
      <c r="H9" s="22"/>
      <c r="I9" s="22"/>
      <c r="J9" s="22"/>
      <c r="K9" s="22"/>
    </row>
    <row r="10" spans="1:11" ht="30" customHeight="1">
      <c r="A10" s="114" t="s">
        <v>69</v>
      </c>
      <c r="B10" s="114"/>
      <c r="C10" s="114"/>
      <c r="D10" s="114"/>
      <c r="E10" s="114"/>
      <c r="F10" s="114"/>
      <c r="G10" s="119">
        <f>K8</f>
        <v>2763120</v>
      </c>
      <c r="H10" s="119"/>
      <c r="I10" s="51" t="s">
        <v>48</v>
      </c>
    </row>
  </sheetData>
  <mergeCells count="18">
    <mergeCell ref="A10:F10"/>
    <mergeCell ref="K5:K6"/>
    <mergeCell ref="C7:D7"/>
    <mergeCell ref="A8:J8"/>
    <mergeCell ref="G10:H10"/>
    <mergeCell ref="A1:K1"/>
    <mergeCell ref="A2:K2"/>
    <mergeCell ref="A3:K3"/>
    <mergeCell ref="A4:K4"/>
    <mergeCell ref="A5:A6"/>
    <mergeCell ref="B5:B6"/>
    <mergeCell ref="C5:D6"/>
    <mergeCell ref="E5:E6"/>
    <mergeCell ref="F5:F6"/>
    <mergeCell ref="G5:G6"/>
    <mergeCell ref="H5:H6"/>
    <mergeCell ref="I5:I6"/>
    <mergeCell ref="J5:J6"/>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 НМЦК с учетом лимитов</vt:lpstr>
      <vt:lpstr>Расчет НМЦК_24 ч_КТРУ 003</vt:lpstr>
      <vt:lpstr>Расчет НМЦК_сумма</vt:lpstr>
      <vt:lpstr>расчет за человеко-час</vt:lpstr>
      <vt:lpstr>'Расчет НМЦК_24 ч_КТРУ 003'!Область_печати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Капкаев О.Ф.</dc:creator>
  <cp:lastModifiedBy>Admin</cp:lastModifiedBy>
  <cp:lastPrinted>2023-09-13T07:42:28Z</cp:lastPrinted>
  <dcterms:created xsi:type="dcterms:W3CDTF">2021-05-21T09:17:21Z</dcterms:created>
  <dcterms:modified xsi:type="dcterms:W3CDTF">2023-09-28T08:44:04Z</dcterms:modified>
</cp:coreProperties>
</file>