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eva\Рабочая папка\СДР-2024\Физическая охрана\Вьюхино\"/>
    </mc:Choice>
  </mc:AlternateContent>
  <bookViews>
    <workbookView xWindow="0" yWindow="0" windowWidth="28800" windowHeight="13020"/>
  </bookViews>
  <sheets>
    <sheet name="2024-2025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" l="1"/>
  <c r="D45" i="3"/>
  <c r="E56" i="3" s="1"/>
  <c r="E22" i="3" l="1"/>
  <c r="E57" i="3" l="1"/>
  <c r="E23" i="3"/>
  <c r="E52" i="3" l="1"/>
  <c r="E53" i="3"/>
  <c r="E19" i="3" l="1"/>
  <c r="E61" i="3" l="1"/>
  <c r="E63" i="3" l="1"/>
  <c r="E62" i="3"/>
  <c r="E64" i="3" l="1"/>
  <c r="E27" i="3"/>
  <c r="E29" i="3" s="1"/>
  <c r="E18" i="3"/>
  <c r="E65" i="3" l="1"/>
  <c r="E28" i="3"/>
  <c r="E66" i="3" l="1"/>
  <c r="E67" i="3" s="1"/>
  <c r="E30" i="3"/>
  <c r="E69" i="3" l="1"/>
  <c r="E70" i="3" s="1"/>
  <c r="E71" i="3" s="1"/>
  <c r="E74" i="3" s="1"/>
  <c r="E75" i="3" s="1"/>
  <c r="E31" i="3"/>
  <c r="E32" i="3" s="1"/>
  <c r="E33" i="3" l="1"/>
  <c r="E35" i="3" s="1"/>
  <c r="E36" i="3" l="1"/>
  <c r="E37" i="3" s="1"/>
  <c r="E40" i="3" l="1"/>
  <c r="E41" i="3" s="1"/>
  <c r="E42" i="3" s="1"/>
  <c r="E79" i="3" s="1"/>
  <c r="E76" i="3"/>
  <c r="E80" i="3" l="1"/>
  <c r="E81" i="3" s="1"/>
</calcChain>
</file>

<file path=xl/sharedStrings.xml><?xml version="1.0" encoding="utf-8"?>
<sst xmlns="http://schemas.openxmlformats.org/spreadsheetml/2006/main" count="213" uniqueCount="115">
  <si>
    <t>Константа</t>
  </si>
  <si>
    <t>Наименование</t>
  </si>
  <si>
    <t>Порядок расчета или исходные данные</t>
  </si>
  <si>
    <t>Ед.измерения</t>
  </si>
  <si>
    <t>Значение</t>
  </si>
  <si>
    <t>n</t>
  </si>
  <si>
    <t>Количество постов</t>
  </si>
  <si>
    <t xml:space="preserve"> —</t>
  </si>
  <si>
    <t>шт.</t>
  </si>
  <si>
    <t>МРОТ</t>
  </si>
  <si>
    <t>Минимальный размер оплаты труда</t>
  </si>
  <si>
    <t>руб.</t>
  </si>
  <si>
    <t>Индекс потребительских цен</t>
  </si>
  <si>
    <t>%</t>
  </si>
  <si>
    <t>НДС</t>
  </si>
  <si>
    <t>Налог на добавленную стоимость</t>
  </si>
  <si>
    <t>Налоговый кодекс РФ</t>
  </si>
  <si>
    <t>Y</t>
  </si>
  <si>
    <t>Ставка страховых взносов</t>
  </si>
  <si>
    <t>U</t>
  </si>
  <si>
    <t>Корректирующий коэффициент</t>
  </si>
  <si>
    <t>Uб</t>
  </si>
  <si>
    <t>Базовый корректирующий коэффициент</t>
  </si>
  <si>
    <t>Дополнительный корректирующий коэффициент в сумме не более 0.35</t>
  </si>
  <si>
    <t>Охрана объектов и (или) имущества, а также обеспечение внутриобъектового и пропускного режимов на объектах, в отношении которых установлены обязательные для выполнения требования к антитеррористической защищенности (+0.1)</t>
  </si>
  <si>
    <t>Кu</t>
  </si>
  <si>
    <t>Количество часов работы охранника</t>
  </si>
  <si>
    <t>Чел.ч</t>
  </si>
  <si>
    <t>СНР</t>
  </si>
  <si>
    <t>Среднемесячная норма рабочего времени</t>
  </si>
  <si>
    <t>час</t>
  </si>
  <si>
    <t>РК</t>
  </si>
  <si>
    <t>Районный коэффициент</t>
  </si>
  <si>
    <t>Усредненное значение по региону</t>
  </si>
  <si>
    <t>Пост охраны в составе одного работника с режимом работы 24 часа</t>
  </si>
  <si>
    <t xml:space="preserve">1. Определение общих используемых параметров </t>
  </si>
  <si>
    <t xml:space="preserve">2. Расчет прямых затрат Сu: </t>
  </si>
  <si>
    <t>Переменная</t>
  </si>
  <si>
    <t>Порядок расчета</t>
  </si>
  <si>
    <t>Расчет</t>
  </si>
  <si>
    <t>Результат</t>
  </si>
  <si>
    <t>БЗП</t>
  </si>
  <si>
    <t>Базовая заработная плата</t>
  </si>
  <si>
    <t>МРОТ/СНР</t>
  </si>
  <si>
    <t>Дн</t>
  </si>
  <si>
    <t>Доплата за работу в ночное время</t>
  </si>
  <si>
    <t>Дн = БЗП × 20 % / 3 (БЗП умножается на 20 % в силу постановления Правительства РФ от 22.07.2008 № 554 «О минимальном размере повышения оплаты труда за работу в ночное время» и делится на «3», т. к. время с 22 часов до 6 часов составляет 1/3 суток)</t>
  </si>
  <si>
    <t>Двп</t>
  </si>
  <si>
    <t>Доплата за работу в выходные и праздничные дни</t>
  </si>
  <si>
    <t>Дрк</t>
  </si>
  <si>
    <t>Доплата за работу в районах Крайнего Севера и приравненных к ним местностях</t>
  </si>
  <si>
    <t>Дрк = (БЗП + Дн + Двп) × РК – (БЗП + Дн + Двп)</t>
  </si>
  <si>
    <t>РО</t>
  </si>
  <si>
    <t>Резерв на отпуск</t>
  </si>
  <si>
    <t>(БЗП + Дн + Двп + Дрк) / 12</t>
  </si>
  <si>
    <t>СВ</t>
  </si>
  <si>
    <t>Страховые взносы</t>
  </si>
  <si>
    <t>Си</t>
  </si>
  <si>
    <t>Си = (БЗП + Дн + Двп + Дрк + РО + СВ) * U</t>
  </si>
  <si>
    <t>прямые затраты</t>
  </si>
  <si>
    <t xml:space="preserve">Сu × Кu </t>
  </si>
  <si>
    <t>общие прямые затраты</t>
  </si>
  <si>
    <t>КР</t>
  </si>
  <si>
    <t>косвенные расходы</t>
  </si>
  <si>
    <t>П</t>
  </si>
  <si>
    <t>прибыль</t>
  </si>
  <si>
    <t>3. Расчет общих прямх затрат, косвенных расходов, прибыли и НДС</t>
  </si>
  <si>
    <t>I инфл</t>
  </si>
  <si>
    <t>ОБОСНОВАНИЕ НАЧАЛЬНОЙ (МАКСИМАЛЬНОЙ) ЦЕНЫ КОНТРАКТА</t>
  </si>
  <si>
    <t>Расчёт произведён на услуги по работе объектов охраны, не    относящихся к объектам, на  которые частная охранная деятельность не распространяется</t>
  </si>
  <si>
    <t>Расчет начальной (максимальной) цены контракта произведен в соответствии с приказом Федеральной службы войск    национальной гвардии Российской Федерации от 15.02.2021 № 45 «Об утверждении Порядка определения начальной    (максимальной) цены контракта, цены контракта, заключаемого с единственным поставщиком (подрядчиком, исполнителем),    начальной цены единицы товара, работы, услуги при осуществлении закупок охранных услуг», в связи с чем методы,    предусмотренные статьей 22 Федерального закона от 05.04.2013 № 44-ФЗ «О контрактной системе в сфере закупок товаров,    работ, услуг для обеспечения государственных и муниципальных нужд», не применяются.</t>
  </si>
  <si>
    <t>СВ = (БЗП + Дн + Двп + Дрк + РО) × 30,2%</t>
  </si>
  <si>
    <t>Двп = в соответствии со статьей 153 ТК РФ:
количество праздничных дней 14</t>
  </si>
  <si>
    <r>
      <t>C</t>
    </r>
    <r>
      <rPr>
        <sz val="8"/>
        <color theme="1"/>
        <rFont val="Times New Roman"/>
        <family val="1"/>
        <charset val="204"/>
      </rPr>
      <t>ТСО</t>
    </r>
  </si>
  <si>
    <r>
      <t>C</t>
    </r>
    <r>
      <rPr>
        <sz val="8"/>
        <color theme="1"/>
        <rFont val="Times New Roman"/>
        <family val="1"/>
        <charset val="204"/>
      </rPr>
      <t>зж</t>
    </r>
  </si>
  <si>
    <t>проектирование, монтаж и эксплуатационное обслуживание технических средств охраны</t>
  </si>
  <si>
    <t>услуги по защите жизни о здоровья граждан</t>
  </si>
  <si>
    <r>
      <t>(Си × Ки) + КР + П) ×I</t>
    </r>
    <r>
      <rPr>
        <sz val="10"/>
        <color theme="1"/>
        <rFont val="Times New Roman"/>
        <family val="1"/>
        <charset val="204"/>
      </rPr>
      <t>инф</t>
    </r>
    <r>
      <rPr>
        <sz val="14"/>
        <color theme="1"/>
        <rFont val="Times New Roman"/>
        <family val="1"/>
        <charset val="204"/>
      </rPr>
      <t>× 0,2</t>
    </r>
  </si>
  <si>
    <t xml:space="preserve">сумма общих прямх затрат, косвенных расходов, прибыли </t>
  </si>
  <si>
    <t>дата расчета</t>
  </si>
  <si>
    <t>Ответственный</t>
  </si>
  <si>
    <t>Лизяева Е.Ю.</t>
  </si>
  <si>
    <t>в том числе за 1 чел/час, руб</t>
  </si>
  <si>
    <t>сумма общих прямх затрат, косвенных расходов, прибыли с 01.01.23 по 06.12.23</t>
  </si>
  <si>
    <t>80.10.12.200</t>
  </si>
  <si>
    <t>ОКПД2:</t>
  </si>
  <si>
    <t>III. РАСЧЕТ НМЦК</t>
  </si>
  <si>
    <t>На основании  п. 1 и п. 2 ст. 72 БК РФ, руководствуюясь Письмом Минфина России от 16.03.2020 N 24-01-08/19862, от 08.09.2017 N 24-01-09/58179, НМЦК снижена до размера лимитов бюджетных обязательств и составила:</t>
  </si>
  <si>
    <t>Uд4</t>
  </si>
  <si>
    <t>U = Uб + Uд4</t>
  </si>
  <si>
    <t>(1+0,1)</t>
  </si>
  <si>
    <t>Федеральный закон от 19 июня 2000 г. N 82-ФЗ</t>
  </si>
  <si>
    <t>Минэкономразвития Прогноз социально-экономического развития Российской Федерации РФ (https://www.economy.gov.ru/)</t>
  </si>
  <si>
    <t>Производственный календарь 2025 года</t>
  </si>
  <si>
    <t>Производственный календарь 2024 года</t>
  </si>
  <si>
    <t>117,09 x 20%/3</t>
  </si>
  <si>
    <r>
      <t>(117,09*24)*(14/</t>
    </r>
    <r>
      <rPr>
        <b/>
        <sz val="14"/>
        <color theme="1"/>
        <rFont val="Times New Roman"/>
        <family val="1"/>
        <charset val="204"/>
      </rPr>
      <t>365</t>
    </r>
    <r>
      <rPr>
        <sz val="14"/>
        <color theme="1"/>
        <rFont val="Times New Roman"/>
        <family val="1"/>
        <charset val="204"/>
      </rPr>
      <t>)/24 =4,48</t>
    </r>
  </si>
  <si>
    <r>
      <t>(98,78*24)*(14/</t>
    </r>
    <r>
      <rPr>
        <b/>
        <sz val="14"/>
        <color theme="1"/>
        <rFont val="Times New Roman"/>
        <family val="1"/>
        <charset val="204"/>
      </rPr>
      <t>366</t>
    </r>
    <r>
      <rPr>
        <sz val="14"/>
        <color theme="1"/>
        <rFont val="Times New Roman"/>
        <family val="1"/>
        <charset val="204"/>
      </rPr>
      <t>)/24 =3,79</t>
    </r>
  </si>
  <si>
    <t>116,67x 20% / 3</t>
  </si>
  <si>
    <t>Итого стоимость часа в 2024 год, руб.</t>
  </si>
  <si>
    <t>Итого стоимость часа в 2025 году, руб.</t>
  </si>
  <si>
    <t xml:space="preserve">
2024</t>
  </si>
  <si>
    <t xml:space="preserve">
2025</t>
  </si>
  <si>
    <t xml:space="preserve">НМЦК Оказание услуг по физической (постовой) охране объекта Отделения в 2024 году, руб. </t>
  </si>
  <si>
    <t xml:space="preserve">НМЦК Оказание услуг по физической (постовой) охране объекта Отделения в 2025 году, руб. </t>
  </si>
  <si>
    <t>НМЦК Оказание услуг по физической (постовой) охране объекта ВСЕГО, руб.:</t>
  </si>
  <si>
    <t>Период оказания услуг: с 8:00 ч 05.12.2024 до 8:00 ч 02.12.2025 года.</t>
  </si>
  <si>
    <t>I. РАСЧЕТ затрат за период:</t>
  </si>
  <si>
    <t xml:space="preserve"> с</t>
  </si>
  <si>
    <t>по</t>
  </si>
  <si>
    <t>24 часа ×26 календарных дней + 16 часов</t>
  </si>
  <si>
    <t>24 часа ×335 календарных дней+8 часов</t>
  </si>
  <si>
    <t>II. РАСЧЕТ затрат за период  с 00:00:01 ч 01.01.2025 по 8:00 ч 02.12.2025 года.</t>
  </si>
  <si>
    <t>Оказание услуг по физической (постовой) охране объекта 
ИКЗ 242667322626766860100100660028010244</t>
  </si>
  <si>
    <t xml:space="preserve">НМЦК Оказание услуг по физической (постовой) охране объекта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</si>
</sst>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\ h:mm;@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</cellStyleXfs>
  <cellXfs count="87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4" fillId="0" borderId="0" xfId="0" applyFont="1"/>
    <xf numFmtId="0" fontId="3" fillId="0" borderId="1" xfId="0" applyFont="1" applyBorder="1" applyAlignment="1">
      <alignment vertical="center" wrapText="1"/>
    </xf>
    <xf numFmtId="0" fontId="7" fillId="0" borderId="0" xfId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4" fontId="7" fillId="0" borderId="0" xfId="1" applyNumberFormat="1"/>
    <xf numFmtId="0" fontId="7" fillId="0" borderId="0" xfId="1"/>
    <xf numFmtId="0" fontId="6" fillId="0" borderId="0" xfId="2"/>
    <xf numFmtId="0" fontId="1" fillId="0" borderId="0" xfId="0" applyFont="1" applyAlignment="1">
      <alignment horizontal="center" vertical="center" wrapText="1"/>
    </xf>
    <xf numFmtId="0" fontId="1" fillId="0" borderId="0" xfId="1" applyFont="1" applyAlignment="1">
      <alignment horizontal="center"/>
    </xf>
    <xf numFmtId="4" fontId="1" fillId="0" borderId="0" xfId="1" applyNumberFormat="1" applyFont="1"/>
    <xf numFmtId="0" fontId="1" fillId="0" borderId="0" xfId="1" applyFont="1"/>
    <xf numFmtId="0" fontId="1" fillId="0" borderId="0" xfId="2" applyFont="1"/>
    <xf numFmtId="0" fontId="0" fillId="0" borderId="1" xfId="0" applyBorder="1"/>
    <xf numFmtId="2" fontId="2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4" fillId="0" borderId="0" xfId="0" applyFont="1" applyAlignment="1">
      <alignment horizontal="right"/>
    </xf>
    <xf numFmtId="0" fontId="15" fillId="0" borderId="1" xfId="0" applyFont="1" applyBorder="1" applyAlignment="1">
      <alignment vertical="center" wrapText="1"/>
    </xf>
    <xf numFmtId="14" fontId="0" fillId="0" borderId="0" xfId="0" applyNumberFormat="1" applyAlignment="1">
      <alignment horizontal="left"/>
    </xf>
    <xf numFmtId="4" fontId="2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2" fontId="2" fillId="6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9" fontId="2" fillId="6" borderId="1" xfId="3" applyFont="1" applyFill="1" applyBorder="1" applyAlignment="1">
      <alignment vertical="center" wrapText="1"/>
    </xf>
    <xf numFmtId="4" fontId="5" fillId="6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8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65" fontId="16" fillId="6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 applyFill="1" applyAlignment="1">
      <alignment horizontal="right" vertical="center" wrapText="1"/>
    </xf>
    <xf numFmtId="165" fontId="16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1" applyFont="1" applyFill="1" applyAlignment="1">
      <alignment horizontal="center"/>
    </xf>
    <xf numFmtId="4" fontId="1" fillId="0" borderId="0" xfId="1" applyNumberFormat="1" applyFont="1" applyFill="1"/>
    <xf numFmtId="0" fontId="1" fillId="0" borderId="0" xfId="1" applyFont="1" applyFill="1"/>
    <xf numFmtId="0" fontId="1" fillId="0" borderId="0" xfId="2" applyFont="1" applyFill="1"/>
    <xf numFmtId="0" fontId="1" fillId="0" borderId="0" xfId="0" applyFont="1" applyFill="1"/>
    <xf numFmtId="4" fontId="2" fillId="0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/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7" fillId="0" borderId="0" xfId="0" applyFont="1" applyAlignment="1">
      <alignment horizontal="justify" vertical="center" wrapText="1"/>
    </xf>
    <xf numFmtId="0" fontId="0" fillId="0" borderId="0" xfId="0" applyFont="1" applyAlignment="1">
      <alignment horizontal="justify" vertical="center"/>
    </xf>
    <xf numFmtId="0" fontId="14" fillId="0" borderId="2" xfId="0" applyFont="1" applyBorder="1" applyAlignment="1">
      <alignment horizontal="right" vertical="center" wrapText="1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15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0" fillId="0" borderId="1" xfId="0" applyBorder="1"/>
    <xf numFmtId="0" fontId="14" fillId="6" borderId="2" xfId="0" applyFont="1" applyFill="1" applyBorder="1" applyAlignment="1">
      <alignment horizontal="right" vertical="center" wrapText="1"/>
    </xf>
    <xf numFmtId="0" fontId="0" fillId="6" borderId="4" xfId="0" applyFill="1" applyBorder="1" applyAlignment="1">
      <alignment horizontal="right"/>
    </xf>
    <xf numFmtId="0" fontId="0" fillId="6" borderId="3" xfId="0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 3" xfId="2"/>
    <cellStyle name="Процентный" xfId="3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34</xdr:row>
      <xdr:rowOff>0</xdr:rowOff>
    </xdr:from>
    <xdr:to>
      <xdr:col>2</xdr:col>
      <xdr:colOff>1095375</xdr:colOff>
      <xdr:row>35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E865164-C958-4176-AAF1-8E59574B16F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39" r="38177"/>
        <a:stretch/>
      </xdr:blipFill>
      <xdr:spPr bwMode="auto">
        <a:xfrm>
          <a:off x="2847975" y="14316075"/>
          <a:ext cx="1009650" cy="238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114300</xdr:colOff>
      <xdr:row>35</xdr:row>
      <xdr:rowOff>38100</xdr:rowOff>
    </xdr:from>
    <xdr:to>
      <xdr:col>2</xdr:col>
      <xdr:colOff>1743075</xdr:colOff>
      <xdr:row>36</xdr:row>
      <xdr:rowOff>3334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CACE094-A7D5-440D-81DB-434D03B33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14592300"/>
          <a:ext cx="1628775" cy="4414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19050</xdr:colOff>
      <xdr:row>36</xdr:row>
      <xdr:rowOff>47625</xdr:rowOff>
    </xdr:from>
    <xdr:to>
      <xdr:col>2</xdr:col>
      <xdr:colOff>1876425</xdr:colOff>
      <xdr:row>36</xdr:row>
      <xdr:rowOff>472085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1E448F9-81DF-483A-A1C5-90CA62BEF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15078075"/>
          <a:ext cx="1857375" cy="4244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114300</xdr:colOff>
      <xdr:row>36</xdr:row>
      <xdr:rowOff>38100</xdr:rowOff>
    </xdr:from>
    <xdr:ext cx="1628775" cy="441484"/>
    <xdr:pic>
      <xdr:nvPicPr>
        <xdr:cNvPr id="6" name="Рисунок 5">
          <a:extLst>
            <a:ext uri="{FF2B5EF4-FFF2-40B4-BE49-F238E27FC236}">
              <a16:creationId xmlns:a16="http://schemas.microsoft.com/office/drawing/2014/main" id="{AF436C23-CA0E-4695-BFB5-8B4E51D70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15068550"/>
          <a:ext cx="1628775" cy="44148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2</xdr:col>
      <xdr:colOff>190500</xdr:colOff>
      <xdr:row>38</xdr:row>
      <xdr:rowOff>419101</xdr:rowOff>
    </xdr:from>
    <xdr:to>
      <xdr:col>2</xdr:col>
      <xdr:colOff>2301875</xdr:colOff>
      <xdr:row>39</xdr:row>
      <xdr:rowOff>247651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2C649742-4C2A-43CF-9D7B-54D8597A5F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52" t="-7691" r="-1"/>
        <a:stretch/>
      </xdr:blipFill>
      <xdr:spPr bwMode="auto">
        <a:xfrm>
          <a:off x="2952750" y="16821151"/>
          <a:ext cx="21113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85725</xdr:colOff>
      <xdr:row>68</xdr:row>
      <xdr:rowOff>0</xdr:rowOff>
    </xdr:from>
    <xdr:to>
      <xdr:col>2</xdr:col>
      <xdr:colOff>1095375</xdr:colOff>
      <xdr:row>68</xdr:row>
      <xdr:rowOff>285750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A72F1F6-D6BA-487F-813F-AFC45C28E51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39" r="38177"/>
        <a:stretch/>
      </xdr:blipFill>
      <xdr:spPr bwMode="auto">
        <a:xfrm>
          <a:off x="2847975" y="13058775"/>
          <a:ext cx="1009650" cy="238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85725</xdr:colOff>
      <xdr:row>69</xdr:row>
      <xdr:rowOff>57150</xdr:rowOff>
    </xdr:from>
    <xdr:to>
      <xdr:col>2</xdr:col>
      <xdr:colOff>1371600</xdr:colOff>
      <xdr:row>69</xdr:row>
      <xdr:rowOff>390525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1E349D32-38F4-4137-AAA2-7749E5161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29365575"/>
          <a:ext cx="1285875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47626</xdr:colOff>
      <xdr:row>70</xdr:row>
      <xdr:rowOff>42522</xdr:rowOff>
    </xdr:from>
    <xdr:to>
      <xdr:col>2</xdr:col>
      <xdr:colOff>1905000</xdr:colOff>
      <xdr:row>70</xdr:row>
      <xdr:rowOff>352426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55B2EE00-D8B2-4989-9A77-89E1774F4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6" y="29951022"/>
          <a:ext cx="1857374" cy="3099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66675</xdr:colOff>
      <xdr:row>79</xdr:row>
      <xdr:rowOff>28575</xdr:rowOff>
    </xdr:from>
    <xdr:to>
      <xdr:col>2</xdr:col>
      <xdr:colOff>2409824</xdr:colOff>
      <xdr:row>79</xdr:row>
      <xdr:rowOff>438150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F4F25C2C-FD18-40C3-8BC1-F182E01F9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33308925"/>
          <a:ext cx="2343149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190500</xdr:colOff>
      <xdr:row>73</xdr:row>
      <xdr:rowOff>19050</xdr:rowOff>
    </xdr:from>
    <xdr:to>
      <xdr:col>2</xdr:col>
      <xdr:colOff>2252980</xdr:colOff>
      <xdr:row>73</xdr:row>
      <xdr:rowOff>380365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D33DA7CB-A310-40E7-B33C-23B2A1F394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44"/>
        <a:stretch/>
      </xdr:blipFill>
      <xdr:spPr bwMode="auto">
        <a:xfrm>
          <a:off x="2952750" y="31470600"/>
          <a:ext cx="2062480" cy="361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66675</xdr:colOff>
      <xdr:row>78</xdr:row>
      <xdr:rowOff>28575</xdr:rowOff>
    </xdr:from>
    <xdr:ext cx="2343149" cy="409575"/>
    <xdr:pic>
      <xdr:nvPicPr>
        <xdr:cNvPr id="11" name="Рисунок 10">
          <a:extLst>
            <a:ext uri="{FF2B5EF4-FFF2-40B4-BE49-F238E27FC236}">
              <a16:creationId xmlns:a16="http://schemas.microsoft.com/office/drawing/2014/main" id="{E941169D-52E0-4CF1-9E41-6E6FACEA1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34089975"/>
          <a:ext cx="2343149" cy="4095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66675</xdr:colOff>
      <xdr:row>79</xdr:row>
      <xdr:rowOff>28575</xdr:rowOff>
    </xdr:from>
    <xdr:ext cx="2343149" cy="409575"/>
    <xdr:pic>
      <xdr:nvPicPr>
        <xdr:cNvPr id="13" name="Рисунок 12">
          <a:extLst>
            <a:ext uri="{FF2B5EF4-FFF2-40B4-BE49-F238E27FC236}">
              <a16:creationId xmlns:a16="http://schemas.microsoft.com/office/drawing/2014/main" id="{E205FB86-8AE6-4D5E-A972-EF495F022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33889950"/>
          <a:ext cx="2343149" cy="4095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8"/>
  <sheetViews>
    <sheetView tabSelected="1" topLeftCell="A76" workbookViewId="0">
      <selection activeCell="A83" sqref="A83:D83"/>
    </sheetView>
  </sheetViews>
  <sheetFormatPr defaultRowHeight="15" x14ac:dyDescent="0.25"/>
  <cols>
    <col min="1" max="1" width="12.42578125" customWidth="1"/>
    <col min="2" max="2" width="29" customWidth="1"/>
    <col min="3" max="3" width="36.42578125" customWidth="1"/>
    <col min="4" max="4" width="18.5703125" customWidth="1"/>
    <col min="5" max="5" width="17.28515625" customWidth="1"/>
    <col min="6" max="6" width="17.5703125" customWidth="1"/>
    <col min="7" max="7" width="11.7109375" customWidth="1"/>
  </cols>
  <sheetData>
    <row r="1" spans="1:28" ht="27.75" customHeight="1" x14ac:dyDescent="0.25">
      <c r="A1" s="66" t="s">
        <v>68</v>
      </c>
      <c r="B1" s="67"/>
      <c r="C1" s="67"/>
      <c r="D1" s="67"/>
      <c r="E1" s="6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5"/>
      <c r="W1" s="5"/>
      <c r="X1" s="5"/>
      <c r="Y1" s="5"/>
      <c r="Z1" s="5"/>
      <c r="AA1" s="5"/>
      <c r="AB1" s="5"/>
    </row>
    <row r="2" spans="1:28" ht="33.75" customHeight="1" x14ac:dyDescent="0.25">
      <c r="A2" s="68" t="s">
        <v>113</v>
      </c>
      <c r="B2" s="69"/>
      <c r="C2" s="69"/>
      <c r="D2" s="69"/>
      <c r="E2" s="6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5"/>
      <c r="W2" s="5"/>
      <c r="X2" s="5"/>
      <c r="Y2" s="8"/>
      <c r="Z2" s="9"/>
      <c r="AA2" s="10"/>
      <c r="AB2" s="10"/>
    </row>
    <row r="3" spans="1:28" ht="92.25" customHeight="1" x14ac:dyDescent="0.25">
      <c r="A3" s="70" t="s">
        <v>70</v>
      </c>
      <c r="B3" s="67"/>
      <c r="C3" s="67"/>
      <c r="D3" s="67"/>
      <c r="E3" s="6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5"/>
      <c r="W3" s="5"/>
      <c r="X3" s="5"/>
      <c r="Y3" s="8"/>
      <c r="Z3" s="9"/>
      <c r="AA3" s="10"/>
      <c r="AB3" s="10"/>
    </row>
    <row r="4" spans="1:28" ht="35.25" customHeight="1" x14ac:dyDescent="0.25">
      <c r="A4" s="70" t="s">
        <v>69</v>
      </c>
      <c r="B4" s="67"/>
      <c r="C4" s="67"/>
      <c r="D4" s="67"/>
      <c r="E4" s="67"/>
      <c r="F4" s="6"/>
      <c r="G4" s="6"/>
      <c r="H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5"/>
      <c r="W4" s="5"/>
      <c r="X4" s="5"/>
      <c r="Y4" s="8"/>
      <c r="Z4" s="9"/>
      <c r="AA4" s="10"/>
      <c r="AB4" s="10"/>
    </row>
    <row r="5" spans="1:28" ht="12" customHeight="1" x14ac:dyDescent="0.25">
      <c r="A5" s="23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5"/>
      <c r="W5" s="5"/>
      <c r="X5" s="5"/>
      <c r="Y5" s="8"/>
      <c r="Z5" s="9"/>
      <c r="AA5" s="10"/>
      <c r="AB5" s="10"/>
    </row>
    <row r="6" spans="1:28" ht="12" customHeight="1" x14ac:dyDescent="0.25">
      <c r="A6" s="26" t="s">
        <v>85</v>
      </c>
      <c r="B6" s="27" t="s">
        <v>84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5"/>
      <c r="W6" s="5"/>
      <c r="X6" s="5"/>
      <c r="Y6" s="8"/>
      <c r="Z6" s="9"/>
      <c r="AA6" s="10"/>
      <c r="AB6" s="10"/>
    </row>
    <row r="7" spans="1:28" ht="17.25" customHeight="1" x14ac:dyDescent="0.25">
      <c r="A7" s="71" t="s">
        <v>106</v>
      </c>
      <c r="B7" s="72"/>
      <c r="C7" s="72"/>
      <c r="D7" s="72"/>
      <c r="E7" s="72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5"/>
      <c r="W7" s="5"/>
      <c r="X7" s="5"/>
      <c r="Y7" s="8"/>
      <c r="Z7" s="9"/>
      <c r="AA7" s="10"/>
      <c r="AB7" s="10"/>
    </row>
    <row r="8" spans="1:28" s="2" customFormat="1" ht="16.5" customHeight="1" x14ac:dyDescent="0.25">
      <c r="A8" s="50" t="s">
        <v>108</v>
      </c>
      <c r="B8" s="53">
        <v>45631.333333333336</v>
      </c>
      <c r="C8" s="54" t="s">
        <v>109</v>
      </c>
      <c r="D8" s="53">
        <v>45993.333321759259</v>
      </c>
      <c r="E8" s="52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2"/>
      <c r="W8" s="12"/>
      <c r="X8" s="12"/>
      <c r="Y8" s="13"/>
      <c r="Z8" s="14"/>
      <c r="AA8" s="15"/>
      <c r="AB8" s="15"/>
    </row>
    <row r="9" spans="1:28" s="64" customFormat="1" ht="9" customHeight="1" x14ac:dyDescent="0.25">
      <c r="A9" s="55"/>
      <c r="B9" s="56"/>
      <c r="C9" s="57"/>
      <c r="D9" s="56"/>
      <c r="E9" s="58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60"/>
      <c r="W9" s="60"/>
      <c r="X9" s="60"/>
      <c r="Y9" s="61"/>
      <c r="Z9" s="62"/>
      <c r="AA9" s="63"/>
      <c r="AB9" s="63"/>
    </row>
    <row r="10" spans="1:28" s="2" customFormat="1" ht="16.5" customHeight="1" x14ac:dyDescent="0.25">
      <c r="A10" s="73" t="s">
        <v>107</v>
      </c>
      <c r="B10" s="74"/>
      <c r="C10" s="74"/>
      <c r="D10" s="74"/>
      <c r="E10" s="74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2"/>
      <c r="W10" s="12"/>
      <c r="X10" s="12"/>
      <c r="Y10" s="13"/>
      <c r="Z10" s="14"/>
      <c r="AA10" s="15"/>
      <c r="AB10" s="15"/>
    </row>
    <row r="11" spans="1:28" s="2" customFormat="1" ht="16.5" customHeight="1" x14ac:dyDescent="0.25">
      <c r="A11" s="50" t="s">
        <v>108</v>
      </c>
      <c r="B11" s="53">
        <f>B8</f>
        <v>45631.333333333336</v>
      </c>
      <c r="C11" s="54" t="s">
        <v>109</v>
      </c>
      <c r="D11" s="53">
        <v>45657.999988425923</v>
      </c>
      <c r="E11" s="5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2"/>
      <c r="W11" s="12"/>
      <c r="X11" s="12"/>
      <c r="Y11" s="13"/>
      <c r="Z11" s="14"/>
      <c r="AA11" s="15"/>
      <c r="AB11" s="15"/>
    </row>
    <row r="12" spans="1:28" x14ac:dyDescent="0.25">
      <c r="A12" s="2" t="s">
        <v>35</v>
      </c>
    </row>
    <row r="13" spans="1:28" ht="37.5" x14ac:dyDescent="0.25">
      <c r="A13" s="1" t="s">
        <v>0</v>
      </c>
      <c r="B13" s="20" t="s">
        <v>1</v>
      </c>
      <c r="C13" s="20" t="s">
        <v>2</v>
      </c>
      <c r="D13" s="1" t="s">
        <v>3</v>
      </c>
      <c r="E13" s="1" t="s">
        <v>4</v>
      </c>
    </row>
    <row r="14" spans="1:28" ht="18.75" x14ac:dyDescent="0.25">
      <c r="A14" s="1" t="s">
        <v>5</v>
      </c>
      <c r="B14" s="20" t="s">
        <v>6</v>
      </c>
      <c r="C14" s="20" t="s">
        <v>7</v>
      </c>
      <c r="D14" s="1" t="s">
        <v>8</v>
      </c>
      <c r="E14" s="1">
        <v>1</v>
      </c>
    </row>
    <row r="15" spans="1:28" ht="30" x14ac:dyDescent="0.25">
      <c r="A15" s="1" t="s">
        <v>9</v>
      </c>
      <c r="B15" s="20" t="s">
        <v>10</v>
      </c>
      <c r="C15" s="20" t="s">
        <v>91</v>
      </c>
      <c r="D15" s="1" t="s">
        <v>11</v>
      </c>
      <c r="E15" s="42">
        <v>19242</v>
      </c>
    </row>
    <row r="16" spans="1:28" ht="60" x14ac:dyDescent="0.25">
      <c r="A16" s="1" t="s">
        <v>67</v>
      </c>
      <c r="B16" s="20" t="s">
        <v>12</v>
      </c>
      <c r="C16" s="43" t="s">
        <v>92</v>
      </c>
      <c r="D16" s="1"/>
      <c r="E16" s="44">
        <v>1</v>
      </c>
    </row>
    <row r="17" spans="1:5" ht="30" x14ac:dyDescent="0.25">
      <c r="A17" s="1" t="s">
        <v>14</v>
      </c>
      <c r="B17" s="20" t="s">
        <v>15</v>
      </c>
      <c r="C17" s="20" t="s">
        <v>16</v>
      </c>
      <c r="D17" s="1" t="s">
        <v>13</v>
      </c>
      <c r="E17" s="47">
        <v>0.2</v>
      </c>
    </row>
    <row r="18" spans="1:5" ht="18.75" x14ac:dyDescent="0.25">
      <c r="A18" s="1" t="s">
        <v>17</v>
      </c>
      <c r="B18" s="20" t="s">
        <v>18</v>
      </c>
      <c r="C18" s="20" t="s">
        <v>16</v>
      </c>
      <c r="D18" s="1" t="s">
        <v>13</v>
      </c>
      <c r="E18" s="44">
        <f>22+2.9+5.1+0.2</f>
        <v>30.2</v>
      </c>
    </row>
    <row r="19" spans="1:5" ht="30" x14ac:dyDescent="0.25">
      <c r="A19" s="1" t="s">
        <v>19</v>
      </c>
      <c r="B19" s="20" t="s">
        <v>20</v>
      </c>
      <c r="C19" s="25" t="s">
        <v>89</v>
      </c>
      <c r="D19" s="24" t="s">
        <v>90</v>
      </c>
      <c r="E19" s="31">
        <f>SUM(E20:E21)</f>
        <v>1.1000000000000001</v>
      </c>
    </row>
    <row r="20" spans="1:5" ht="30" x14ac:dyDescent="0.25">
      <c r="A20" s="1" t="s">
        <v>21</v>
      </c>
      <c r="B20" s="20" t="s">
        <v>22</v>
      </c>
      <c r="C20" s="20" t="s">
        <v>34</v>
      </c>
      <c r="D20" s="1" t="s">
        <v>7</v>
      </c>
      <c r="E20" s="34">
        <v>1</v>
      </c>
    </row>
    <row r="21" spans="1:5" ht="120" x14ac:dyDescent="0.25">
      <c r="A21" s="1" t="s">
        <v>88</v>
      </c>
      <c r="B21" s="20" t="s">
        <v>23</v>
      </c>
      <c r="C21" s="20" t="s">
        <v>24</v>
      </c>
      <c r="D21" s="1" t="s">
        <v>7</v>
      </c>
      <c r="E21" s="33">
        <v>0.1</v>
      </c>
    </row>
    <row r="22" spans="1:5" ht="30" x14ac:dyDescent="0.25">
      <c r="A22" s="1" t="s">
        <v>25</v>
      </c>
      <c r="B22" s="20" t="s">
        <v>26</v>
      </c>
      <c r="C22" s="35" t="s">
        <v>110</v>
      </c>
      <c r="D22" s="32" t="s">
        <v>27</v>
      </c>
      <c r="E22" s="37">
        <f>(D11-B11)*24</f>
        <v>639.99972222209908</v>
      </c>
    </row>
    <row r="23" spans="1:5" ht="30" x14ac:dyDescent="0.25">
      <c r="A23" s="1" t="s">
        <v>28</v>
      </c>
      <c r="B23" s="20" t="s">
        <v>29</v>
      </c>
      <c r="C23" s="43" t="s">
        <v>94</v>
      </c>
      <c r="D23" s="44" t="s">
        <v>30</v>
      </c>
      <c r="E23" s="44">
        <f>ROUND(1979/12,2)</f>
        <v>164.92</v>
      </c>
    </row>
    <row r="24" spans="1:5" ht="18.75" x14ac:dyDescent="0.25">
      <c r="A24" s="1" t="s">
        <v>31</v>
      </c>
      <c r="B24" s="20" t="s">
        <v>32</v>
      </c>
      <c r="C24" s="20" t="s">
        <v>33</v>
      </c>
      <c r="D24" s="1" t="s">
        <v>7</v>
      </c>
      <c r="E24" s="17">
        <v>1.1499999999999999</v>
      </c>
    </row>
    <row r="25" spans="1:5" ht="19.5" customHeight="1" x14ac:dyDescent="0.25">
      <c r="A25" s="3" t="s">
        <v>36</v>
      </c>
    </row>
    <row r="26" spans="1:5" ht="37.5" x14ac:dyDescent="0.25">
      <c r="A26" s="1" t="s">
        <v>37</v>
      </c>
      <c r="B26" s="20" t="s">
        <v>1</v>
      </c>
      <c r="C26" s="20" t="s">
        <v>38</v>
      </c>
      <c r="D26" s="1" t="s">
        <v>39</v>
      </c>
      <c r="E26" s="1" t="s">
        <v>40</v>
      </c>
    </row>
    <row r="27" spans="1:5" ht="29.25" customHeight="1" x14ac:dyDescent="0.25">
      <c r="A27" s="1" t="s">
        <v>41</v>
      </c>
      <c r="B27" s="20" t="s">
        <v>42</v>
      </c>
      <c r="C27" s="20" t="s">
        <v>43</v>
      </c>
      <c r="D27" s="44"/>
      <c r="E27" s="45">
        <f>ROUND(E15/E23,2)</f>
        <v>116.67</v>
      </c>
    </row>
    <row r="28" spans="1:5" ht="120" x14ac:dyDescent="0.25">
      <c r="A28" s="1" t="s">
        <v>44</v>
      </c>
      <c r="B28" s="20" t="s">
        <v>45</v>
      </c>
      <c r="C28" s="20" t="s">
        <v>46</v>
      </c>
      <c r="D28" s="44" t="s">
        <v>98</v>
      </c>
      <c r="E28" s="1">
        <f>ROUND((E27*20%)/3,2)</f>
        <v>7.78</v>
      </c>
    </row>
    <row r="29" spans="1:5" ht="45" x14ac:dyDescent="0.25">
      <c r="A29" s="1" t="s">
        <v>47</v>
      </c>
      <c r="B29" s="20" t="s">
        <v>48</v>
      </c>
      <c r="C29" s="20" t="s">
        <v>72</v>
      </c>
      <c r="D29" s="44" t="s">
        <v>97</v>
      </c>
      <c r="E29" s="44">
        <f>ROUND((E27*24)*(14/366)/24,2)</f>
        <v>4.46</v>
      </c>
    </row>
    <row r="30" spans="1:5" ht="60" x14ac:dyDescent="0.25">
      <c r="A30" s="1" t="s">
        <v>49</v>
      </c>
      <c r="B30" s="20" t="s">
        <v>50</v>
      </c>
      <c r="C30" s="20" t="s">
        <v>51</v>
      </c>
      <c r="D30" s="4"/>
      <c r="E30" s="1">
        <f>ROUND(((E27+E28+E29)*E24)-(E27+E28+E29),2)</f>
        <v>19.34</v>
      </c>
    </row>
    <row r="31" spans="1:5" ht="18.75" x14ac:dyDescent="0.25">
      <c r="A31" s="1" t="s">
        <v>52</v>
      </c>
      <c r="B31" s="20" t="s">
        <v>53</v>
      </c>
      <c r="C31" s="20" t="s">
        <v>54</v>
      </c>
      <c r="D31" s="4"/>
      <c r="E31" s="1">
        <f>ROUND((E27+E28+E29+E30)/12,2)</f>
        <v>12.35</v>
      </c>
    </row>
    <row r="32" spans="1:5" ht="30" x14ac:dyDescent="0.25">
      <c r="A32" s="1" t="s">
        <v>55</v>
      </c>
      <c r="B32" s="20" t="s">
        <v>56</v>
      </c>
      <c r="C32" s="20" t="s">
        <v>71</v>
      </c>
      <c r="D32" s="4"/>
      <c r="E32" s="1">
        <f>ROUND((E27+E28+E29+E30+E31)*30.2%,2)</f>
        <v>48.5</v>
      </c>
    </row>
    <row r="33" spans="1:28" ht="30" x14ac:dyDescent="0.25">
      <c r="A33" s="1" t="s">
        <v>57</v>
      </c>
      <c r="B33" s="20" t="s">
        <v>59</v>
      </c>
      <c r="C33" s="20" t="s">
        <v>58</v>
      </c>
      <c r="D33" s="1"/>
      <c r="E33" s="1">
        <f>(E27+E28+E29+E30+E31+E32)*E19</f>
        <v>230.01000000000002</v>
      </c>
    </row>
    <row r="34" spans="1:28" ht="23.25" customHeight="1" x14ac:dyDescent="0.25">
      <c r="A34" s="3" t="s">
        <v>66</v>
      </c>
    </row>
    <row r="35" spans="1:28" ht="18.75" x14ac:dyDescent="0.25">
      <c r="A35" s="1" t="s">
        <v>60</v>
      </c>
      <c r="B35" s="20" t="s">
        <v>61</v>
      </c>
      <c r="C35" s="1"/>
      <c r="D35" s="1"/>
      <c r="E35" s="41">
        <f>ROUND(E33,2)</f>
        <v>230.01</v>
      </c>
    </row>
    <row r="36" spans="1:28" ht="37.5" customHeight="1" x14ac:dyDescent="0.25">
      <c r="A36" s="1" t="s">
        <v>62</v>
      </c>
      <c r="B36" s="20" t="s">
        <v>63</v>
      </c>
      <c r="C36" s="1"/>
      <c r="D36" s="1"/>
      <c r="E36" s="22">
        <f>ROUND(E35*0.2,2)</f>
        <v>46</v>
      </c>
    </row>
    <row r="37" spans="1:28" ht="40.5" customHeight="1" x14ac:dyDescent="0.25">
      <c r="A37" s="1" t="s">
        <v>64</v>
      </c>
      <c r="B37" s="20" t="s">
        <v>65</v>
      </c>
      <c r="C37" s="1"/>
      <c r="D37" s="1"/>
      <c r="E37" s="22">
        <f>ROUND((E35+E36)*0.05,2)</f>
        <v>13.8</v>
      </c>
    </row>
    <row r="38" spans="1:28" ht="63.75" customHeight="1" x14ac:dyDescent="0.25">
      <c r="A38" s="1" t="s">
        <v>73</v>
      </c>
      <c r="B38" s="20" t="s">
        <v>75</v>
      </c>
      <c r="C38" s="1"/>
      <c r="D38" s="1"/>
      <c r="E38" s="1">
        <v>0</v>
      </c>
    </row>
    <row r="39" spans="1:28" ht="34.5" customHeight="1" x14ac:dyDescent="0.25">
      <c r="A39" s="1" t="s">
        <v>74</v>
      </c>
      <c r="B39" s="20" t="s">
        <v>76</v>
      </c>
      <c r="C39" s="1"/>
      <c r="D39" s="1"/>
      <c r="E39" s="1">
        <v>0</v>
      </c>
    </row>
    <row r="40" spans="1:28" ht="40.5" customHeight="1" x14ac:dyDescent="0.25">
      <c r="A40" s="80" t="s">
        <v>78</v>
      </c>
      <c r="B40" s="81"/>
      <c r="C40" s="46">
        <v>2024</v>
      </c>
      <c r="D40" s="1"/>
      <c r="E40" s="22">
        <f>ROUND((E35+E36+E37)+E38+E39,2)</f>
        <v>289.81</v>
      </c>
    </row>
    <row r="41" spans="1:28" ht="37.5" x14ac:dyDescent="0.25">
      <c r="A41" s="1" t="s">
        <v>14</v>
      </c>
      <c r="B41" s="20"/>
      <c r="C41" s="1" t="s">
        <v>77</v>
      </c>
      <c r="D41" s="1"/>
      <c r="E41" s="22">
        <f>E40*E17</f>
        <v>57.962000000000003</v>
      </c>
    </row>
    <row r="42" spans="1:28" ht="27.75" customHeight="1" x14ac:dyDescent="0.25">
      <c r="A42" s="84" t="s">
        <v>99</v>
      </c>
      <c r="B42" s="85"/>
      <c r="C42" s="85"/>
      <c r="D42" s="86"/>
      <c r="E42" s="48">
        <f>E40+E41</f>
        <v>347.77199999999999</v>
      </c>
    </row>
    <row r="44" spans="1:28" x14ac:dyDescent="0.25">
      <c r="A44" s="73" t="s">
        <v>112</v>
      </c>
      <c r="B44" s="74"/>
      <c r="C44" s="74"/>
      <c r="D44" s="74"/>
      <c r="E44" s="74"/>
    </row>
    <row r="45" spans="1:28" s="2" customFormat="1" ht="16.5" customHeight="1" x14ac:dyDescent="0.25">
      <c r="A45" s="50" t="s">
        <v>108</v>
      </c>
      <c r="B45" s="53">
        <v>45658.000011574077</v>
      </c>
      <c r="C45" s="51" t="s">
        <v>109</v>
      </c>
      <c r="D45" s="53">
        <f>D8</f>
        <v>45993.333321759259</v>
      </c>
      <c r="E45" s="52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2"/>
      <c r="W45" s="12"/>
      <c r="X45" s="12"/>
      <c r="Y45" s="13"/>
      <c r="Z45" s="14"/>
      <c r="AA45" s="15"/>
      <c r="AB45" s="15"/>
    </row>
    <row r="46" spans="1:28" x14ac:dyDescent="0.25">
      <c r="A46" s="2" t="s">
        <v>35</v>
      </c>
    </row>
    <row r="47" spans="1:28" ht="30" x14ac:dyDescent="0.25">
      <c r="A47" s="20" t="s">
        <v>0</v>
      </c>
      <c r="B47" s="20" t="s">
        <v>1</v>
      </c>
      <c r="C47" s="20" t="s">
        <v>2</v>
      </c>
      <c r="D47" s="1" t="s">
        <v>3</v>
      </c>
      <c r="E47" s="1" t="s">
        <v>4</v>
      </c>
    </row>
    <row r="48" spans="1:28" ht="18.75" x14ac:dyDescent="0.25">
      <c r="A48" s="1" t="s">
        <v>5</v>
      </c>
      <c r="B48" s="20" t="s">
        <v>6</v>
      </c>
      <c r="C48" s="20" t="s">
        <v>7</v>
      </c>
      <c r="D48" s="1" t="s">
        <v>8</v>
      </c>
      <c r="E48" s="1">
        <v>1</v>
      </c>
    </row>
    <row r="49" spans="1:5" ht="30" x14ac:dyDescent="0.25">
      <c r="A49" s="1" t="s">
        <v>9</v>
      </c>
      <c r="B49" s="20" t="s">
        <v>10</v>
      </c>
      <c r="C49" s="20" t="s">
        <v>91</v>
      </c>
      <c r="D49" s="1" t="s">
        <v>11</v>
      </c>
      <c r="E49" s="42">
        <v>19242</v>
      </c>
    </row>
    <row r="50" spans="1:5" ht="60" x14ac:dyDescent="0.25">
      <c r="A50" s="1" t="s">
        <v>67</v>
      </c>
      <c r="B50" s="20" t="s">
        <v>12</v>
      </c>
      <c r="C50" s="43" t="s">
        <v>92</v>
      </c>
      <c r="D50" s="1"/>
      <c r="E50" s="44">
        <v>1.0309999999999999</v>
      </c>
    </row>
    <row r="51" spans="1:5" ht="30" x14ac:dyDescent="0.25">
      <c r="A51" s="1" t="s">
        <v>14</v>
      </c>
      <c r="B51" s="20" t="s">
        <v>15</v>
      </c>
      <c r="C51" s="20" t="s">
        <v>16</v>
      </c>
      <c r="D51" s="1" t="s">
        <v>13</v>
      </c>
      <c r="E51" s="1">
        <v>20</v>
      </c>
    </row>
    <row r="52" spans="1:5" ht="18.75" x14ac:dyDescent="0.25">
      <c r="A52" s="1" t="s">
        <v>17</v>
      </c>
      <c r="B52" s="20" t="s">
        <v>18</v>
      </c>
      <c r="C52" s="20" t="s">
        <v>16</v>
      </c>
      <c r="D52" s="1" t="s">
        <v>13</v>
      </c>
      <c r="E52" s="1">
        <f>22+2.9+5.1+0.2</f>
        <v>30.2</v>
      </c>
    </row>
    <row r="53" spans="1:5" ht="30" x14ac:dyDescent="0.25">
      <c r="A53" s="1" t="s">
        <v>19</v>
      </c>
      <c r="B53" s="20" t="s">
        <v>20</v>
      </c>
      <c r="C53" s="35" t="s">
        <v>89</v>
      </c>
      <c r="D53" s="32" t="s">
        <v>90</v>
      </c>
      <c r="E53" s="36">
        <f>SUM(E54:E55)</f>
        <v>1.1000000000000001</v>
      </c>
    </row>
    <row r="54" spans="1:5" ht="30" x14ac:dyDescent="0.25">
      <c r="A54" s="1" t="s">
        <v>21</v>
      </c>
      <c r="B54" s="20" t="s">
        <v>22</v>
      </c>
      <c r="C54" s="20" t="s">
        <v>34</v>
      </c>
      <c r="D54" s="1" t="s">
        <v>7</v>
      </c>
      <c r="E54" s="1">
        <v>1</v>
      </c>
    </row>
    <row r="55" spans="1:5" ht="120" x14ac:dyDescent="0.25">
      <c r="A55" s="1" t="s">
        <v>88</v>
      </c>
      <c r="B55" s="20" t="s">
        <v>23</v>
      </c>
      <c r="C55" s="20" t="s">
        <v>24</v>
      </c>
      <c r="D55" s="1" t="s">
        <v>7</v>
      </c>
      <c r="E55" s="1">
        <v>0.1</v>
      </c>
    </row>
    <row r="56" spans="1:5" ht="30" x14ac:dyDescent="0.25">
      <c r="A56" s="1" t="s">
        <v>25</v>
      </c>
      <c r="B56" s="20" t="s">
        <v>26</v>
      </c>
      <c r="C56" s="38" t="s">
        <v>111</v>
      </c>
      <c r="D56" s="39" t="s">
        <v>27</v>
      </c>
      <c r="E56" s="40">
        <f>(D45-B45)*24</f>
        <v>8047.9994444443728</v>
      </c>
    </row>
    <row r="57" spans="1:5" ht="30" x14ac:dyDescent="0.25">
      <c r="A57" s="1" t="s">
        <v>28</v>
      </c>
      <c r="B57" s="20" t="s">
        <v>29</v>
      </c>
      <c r="C57" s="43" t="s">
        <v>93</v>
      </c>
      <c r="D57" s="44" t="s">
        <v>30</v>
      </c>
      <c r="E57" s="44">
        <f>ROUND(1972/12,2)</f>
        <v>164.33</v>
      </c>
    </row>
    <row r="58" spans="1:5" ht="18.75" x14ac:dyDescent="0.25">
      <c r="A58" s="1" t="s">
        <v>31</v>
      </c>
      <c r="B58" s="20" t="s">
        <v>32</v>
      </c>
      <c r="C58" s="20" t="s">
        <v>33</v>
      </c>
      <c r="D58" s="1" t="s">
        <v>7</v>
      </c>
      <c r="E58" s="17">
        <v>1.1499999999999999</v>
      </c>
    </row>
    <row r="59" spans="1:5" ht="15.75" x14ac:dyDescent="0.25">
      <c r="A59" s="3" t="s">
        <v>36</v>
      </c>
    </row>
    <row r="60" spans="1:5" ht="18.75" x14ac:dyDescent="0.25">
      <c r="A60" s="20" t="s">
        <v>37</v>
      </c>
      <c r="B60" s="20" t="s">
        <v>1</v>
      </c>
      <c r="C60" s="20" t="s">
        <v>38</v>
      </c>
      <c r="D60" s="1" t="s">
        <v>39</v>
      </c>
      <c r="E60" s="1" t="s">
        <v>40</v>
      </c>
    </row>
    <row r="61" spans="1:5" ht="18.75" x14ac:dyDescent="0.25">
      <c r="A61" s="1" t="s">
        <v>41</v>
      </c>
      <c r="B61" s="20" t="s">
        <v>42</v>
      </c>
      <c r="C61" s="20" t="s">
        <v>43</v>
      </c>
      <c r="D61" s="44"/>
      <c r="E61" s="45">
        <f>ROUND(E49/E57,2)</f>
        <v>117.09</v>
      </c>
    </row>
    <row r="62" spans="1:5" ht="120" x14ac:dyDescent="0.25">
      <c r="A62" s="1" t="s">
        <v>44</v>
      </c>
      <c r="B62" s="20" t="s">
        <v>45</v>
      </c>
      <c r="C62" s="20" t="s">
        <v>46</v>
      </c>
      <c r="D62" s="44" t="s">
        <v>95</v>
      </c>
      <c r="E62" s="1">
        <f>ROUND((E61*20%)/3,2)</f>
        <v>7.81</v>
      </c>
    </row>
    <row r="63" spans="1:5" ht="56.25" x14ac:dyDescent="0.25">
      <c r="A63" s="1" t="s">
        <v>47</v>
      </c>
      <c r="B63" s="20" t="s">
        <v>48</v>
      </c>
      <c r="C63" s="20" t="s">
        <v>72</v>
      </c>
      <c r="D63" s="44" t="s">
        <v>96</v>
      </c>
      <c r="E63" s="44">
        <f>ROUND((E61*24)*(14/365)/24,2)</f>
        <v>4.49</v>
      </c>
    </row>
    <row r="64" spans="1:5" ht="60" x14ac:dyDescent="0.25">
      <c r="A64" s="1" t="s">
        <v>49</v>
      </c>
      <c r="B64" s="20" t="s">
        <v>50</v>
      </c>
      <c r="C64" s="20" t="s">
        <v>51</v>
      </c>
      <c r="D64" s="4"/>
      <c r="E64" s="1">
        <f>ROUND(((E61+E62+E63)*E58)-(E61+E62+E63),2)</f>
        <v>19.41</v>
      </c>
    </row>
    <row r="65" spans="1:5" ht="18.75" x14ac:dyDescent="0.25">
      <c r="A65" s="1" t="s">
        <v>52</v>
      </c>
      <c r="B65" s="20" t="s">
        <v>53</v>
      </c>
      <c r="C65" s="20" t="s">
        <v>54</v>
      </c>
      <c r="D65" s="4"/>
      <c r="E65" s="1">
        <f>ROUND((E61+E62+E63+E64)/12,2)</f>
        <v>12.4</v>
      </c>
    </row>
    <row r="66" spans="1:5" ht="30" x14ac:dyDescent="0.25">
      <c r="A66" s="1" t="s">
        <v>55</v>
      </c>
      <c r="B66" s="20" t="s">
        <v>56</v>
      </c>
      <c r="C66" s="20" t="s">
        <v>71</v>
      </c>
      <c r="D66" s="4"/>
      <c r="E66" s="1">
        <f>ROUND((E61+E62+E63+E64+E65)*30.2%,2)</f>
        <v>48.68</v>
      </c>
    </row>
    <row r="67" spans="1:5" ht="30" x14ac:dyDescent="0.25">
      <c r="A67" s="1" t="s">
        <v>57</v>
      </c>
      <c r="B67" s="20" t="s">
        <v>59</v>
      </c>
      <c r="C67" s="20" t="s">
        <v>58</v>
      </c>
      <c r="D67" s="1"/>
      <c r="E67" s="1">
        <f>ROUND((E61+E62+E63+E64+E65+E66)*E53,2)</f>
        <v>230.87</v>
      </c>
    </row>
    <row r="68" spans="1:5" ht="15.75" x14ac:dyDescent="0.25">
      <c r="A68" s="3" t="s">
        <v>66</v>
      </c>
    </row>
    <row r="69" spans="1:5" ht="30" customHeight="1" x14ac:dyDescent="0.25">
      <c r="A69" s="1" t="s">
        <v>60</v>
      </c>
      <c r="B69" s="20" t="s">
        <v>61</v>
      </c>
      <c r="C69" s="1"/>
      <c r="D69" s="1"/>
      <c r="E69" s="65">
        <f>ROUND(E67,2)</f>
        <v>230.87</v>
      </c>
    </row>
    <row r="70" spans="1:5" ht="36" customHeight="1" x14ac:dyDescent="0.25">
      <c r="A70" s="1" t="s">
        <v>62</v>
      </c>
      <c r="B70" s="20" t="s">
        <v>63</v>
      </c>
      <c r="C70" s="1"/>
      <c r="D70" s="1"/>
      <c r="E70" s="22">
        <f>ROUND(E69*0.2,2)</f>
        <v>46.17</v>
      </c>
    </row>
    <row r="71" spans="1:5" ht="31.5" customHeight="1" x14ac:dyDescent="0.25">
      <c r="A71" s="1" t="s">
        <v>64</v>
      </c>
      <c r="B71" s="20" t="s">
        <v>65</v>
      </c>
      <c r="C71" s="1"/>
      <c r="D71" s="1"/>
      <c r="E71" s="22">
        <f>ROUND((E69+E70)*0.05,2)</f>
        <v>13.85</v>
      </c>
    </row>
    <row r="72" spans="1:5" ht="60" x14ac:dyDescent="0.25">
      <c r="A72" s="1" t="s">
        <v>73</v>
      </c>
      <c r="B72" s="20" t="s">
        <v>75</v>
      </c>
      <c r="C72" s="1"/>
      <c r="D72" s="1"/>
      <c r="E72" s="1">
        <v>0</v>
      </c>
    </row>
    <row r="73" spans="1:5" ht="30" x14ac:dyDescent="0.25">
      <c r="A73" s="1" t="s">
        <v>74</v>
      </c>
      <c r="B73" s="20" t="s">
        <v>76</v>
      </c>
      <c r="C73" s="1"/>
      <c r="D73" s="1"/>
      <c r="E73" s="1">
        <v>0</v>
      </c>
    </row>
    <row r="74" spans="1:5" ht="30.75" customHeight="1" x14ac:dyDescent="0.25">
      <c r="A74" s="80" t="s">
        <v>83</v>
      </c>
      <c r="B74" s="81"/>
      <c r="C74" s="16"/>
      <c r="D74" s="1"/>
      <c r="E74" s="22">
        <f>ROUND((E69+E70+E71)+E72+E73,2)</f>
        <v>290.89</v>
      </c>
    </row>
    <row r="75" spans="1:5" ht="28.5" customHeight="1" x14ac:dyDescent="0.25">
      <c r="A75" s="1" t="s">
        <v>14</v>
      </c>
      <c r="B75" s="20"/>
      <c r="C75" s="1" t="s">
        <v>77</v>
      </c>
      <c r="D75" s="1"/>
      <c r="E75" s="22">
        <f>ROUND(E74*E50*0.2,2)</f>
        <v>59.98</v>
      </c>
    </row>
    <row r="76" spans="1:5" ht="27.75" customHeight="1" x14ac:dyDescent="0.25">
      <c r="A76" s="84" t="s">
        <v>100</v>
      </c>
      <c r="B76" s="85"/>
      <c r="C76" s="85"/>
      <c r="D76" s="86"/>
      <c r="E76" s="48">
        <f>E74+E75</f>
        <v>350.87</v>
      </c>
    </row>
    <row r="77" spans="1:5" ht="18.75" x14ac:dyDescent="0.25">
      <c r="A77" s="28"/>
      <c r="B77" s="29"/>
      <c r="C77" s="28"/>
      <c r="D77" s="28"/>
      <c r="E77" s="30"/>
    </row>
    <row r="78" spans="1:5" ht="15.75" x14ac:dyDescent="0.25">
      <c r="A78" s="3" t="s">
        <v>86</v>
      </c>
    </row>
    <row r="79" spans="1:5" ht="55.5" customHeight="1" x14ac:dyDescent="0.3">
      <c r="A79" s="82" t="s">
        <v>103</v>
      </c>
      <c r="B79" s="83"/>
      <c r="C79" s="49" t="s">
        <v>101</v>
      </c>
      <c r="D79" s="1"/>
      <c r="E79" s="18">
        <f>E42*E22</f>
        <v>222573.98339662384</v>
      </c>
    </row>
    <row r="80" spans="1:5" ht="48.75" customHeight="1" x14ac:dyDescent="0.3">
      <c r="A80" s="82" t="s">
        <v>104</v>
      </c>
      <c r="B80" s="83"/>
      <c r="C80" s="49" t="s">
        <v>102</v>
      </c>
      <c r="D80" s="1"/>
      <c r="E80" s="18">
        <f>E76*E56</f>
        <v>2823801.565072197</v>
      </c>
    </row>
    <row r="81" spans="1:5" ht="27.75" customHeight="1" x14ac:dyDescent="0.25">
      <c r="A81" s="77" t="s">
        <v>105</v>
      </c>
      <c r="B81" s="78"/>
      <c r="C81" s="78"/>
      <c r="D81" s="79"/>
      <c r="E81" s="18">
        <f>E79+E80</f>
        <v>3046375.5484688208</v>
      </c>
    </row>
    <row r="82" spans="1:5" ht="51" customHeight="1" x14ac:dyDescent="0.25">
      <c r="A82" s="75" t="s">
        <v>87</v>
      </c>
      <c r="B82" s="76"/>
      <c r="C82" s="76"/>
      <c r="D82" s="76"/>
      <c r="E82" s="76"/>
    </row>
    <row r="83" spans="1:5" ht="32.25" customHeight="1" x14ac:dyDescent="0.25">
      <c r="A83" s="77" t="s">
        <v>114</v>
      </c>
      <c r="B83" s="78"/>
      <c r="C83" s="78"/>
      <c r="D83" s="79"/>
      <c r="E83" s="18">
        <v>1529088</v>
      </c>
    </row>
    <row r="84" spans="1:5" ht="18.75" x14ac:dyDescent="0.25">
      <c r="D84" s="19" t="s">
        <v>82</v>
      </c>
      <c r="E84" s="18">
        <v>176</v>
      </c>
    </row>
    <row r="87" spans="1:5" x14ac:dyDescent="0.25">
      <c r="B87" t="s">
        <v>79</v>
      </c>
      <c r="C87" s="21">
        <v>45559</v>
      </c>
    </row>
    <row r="88" spans="1:5" x14ac:dyDescent="0.25">
      <c r="B88" t="s">
        <v>80</v>
      </c>
      <c r="C88" t="s">
        <v>81</v>
      </c>
    </row>
  </sheetData>
  <mergeCells count="16">
    <mergeCell ref="A10:E10"/>
    <mergeCell ref="A82:E82"/>
    <mergeCell ref="A83:D83"/>
    <mergeCell ref="A44:E44"/>
    <mergeCell ref="A74:B74"/>
    <mergeCell ref="A80:B80"/>
    <mergeCell ref="A42:D42"/>
    <mergeCell ref="A76:D76"/>
    <mergeCell ref="A79:B79"/>
    <mergeCell ref="A81:D81"/>
    <mergeCell ref="A40:B40"/>
    <mergeCell ref="A1:E1"/>
    <mergeCell ref="A2:E2"/>
    <mergeCell ref="A3:E3"/>
    <mergeCell ref="A4:E4"/>
    <mergeCell ref="A7:E7"/>
  </mergeCells>
  <pageMargins left="0.7" right="0.7" top="0.75" bottom="0.75" header="0.3" footer="0.3"/>
  <pageSetup paperSize="9"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Лизяева</dc:creator>
  <cp:lastModifiedBy>Тощева</cp:lastModifiedBy>
  <cp:lastPrinted>2024-09-24T09:08:00Z</cp:lastPrinted>
  <dcterms:created xsi:type="dcterms:W3CDTF">2021-10-26T11:25:09Z</dcterms:created>
  <dcterms:modified xsi:type="dcterms:W3CDTF">2024-10-11T10:56:27Z</dcterms:modified>
</cp:coreProperties>
</file>