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9040" windowHeight="15840" tabRatio="500" activeTab="1"/>
  </bookViews>
  <sheets>
    <sheet name="Обоснование выбора метода НМЦК" sheetId="1" r:id="rId1"/>
    <sheet name="Расчет НМЦК_24 ч_КТРУ 003" sheetId="2" r:id="rId2"/>
    <sheet name="Расчет НМЦК_сумма" sheetId="3" r:id="rId3"/>
    <sheet name="расчет за человеко-час" sheetId="4" r:id="rId4"/>
  </sheets>
  <definedNames>
    <definedName name="_xlnm.Print_Area" localSheetId="1">'Расчет НМЦК_24 ч_КТРУ 003'!$A$1:$F$16</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 i="2"/>
  <c r="B8" i="1"/>
  <c r="F14" i="2"/>
  <c r="E5"/>
  <c r="E13" l="1"/>
  <c r="H7" i="4" s="1"/>
  <c r="F5" i="2"/>
  <c r="F4"/>
  <c r="E6" l="1"/>
  <c r="F6" s="1"/>
  <c r="E7"/>
  <c r="F7" s="1"/>
  <c r="F13"/>
  <c r="E8" l="1"/>
  <c r="F8" s="1"/>
  <c r="E9" l="1"/>
  <c r="F9" s="1"/>
  <c r="E10" l="1"/>
  <c r="F10" s="1"/>
  <c r="E11" s="1"/>
  <c r="F11" s="1"/>
  <c r="E12" l="1"/>
  <c r="F12" s="1"/>
  <c r="E15" s="1"/>
  <c r="F15" s="1"/>
  <c r="E16" s="1"/>
  <c r="F16" s="1"/>
  <c r="E5" i="3" s="1"/>
  <c r="F5" l="1"/>
  <c r="E7"/>
  <c r="F7" s="1"/>
  <c r="E8" s="1"/>
  <c r="F8" s="1"/>
  <c r="F9" s="1"/>
  <c r="I7" i="4" s="1"/>
  <c r="J7" s="1"/>
  <c r="B7" i="1" l="1"/>
  <c r="J8" i="4"/>
  <c r="G10" l="1"/>
</calcChain>
</file>

<file path=xl/sharedStrings.xml><?xml version="1.0" encoding="utf-8"?>
<sst xmlns="http://schemas.openxmlformats.org/spreadsheetml/2006/main" count="96" uniqueCount="70">
  <si>
    <t xml:space="preserve">Обоснование начальной (максимальной) цены контракта </t>
  </si>
  <si>
    <t>1. Обоснование выбора метода определения НМЦК</t>
  </si>
  <si>
    <t>Показатель</t>
  </si>
  <si>
    <t>Значение показателя</t>
  </si>
  <si>
    <t>Метод определения начальной (максимальной) цены контракта (далее - НМЦК)</t>
  </si>
  <si>
    <t>Иной метод</t>
  </si>
  <si>
    <t xml:space="preserve">Обоснование невозможности применения методов обоснования НМЦК, указанных в части 1 статьи 22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Закон)
</t>
  </si>
  <si>
    <r>
      <rPr>
        <sz val="12"/>
        <rFont val="Times New Roman"/>
        <family val="1"/>
        <charset val="204"/>
      </rPr>
      <t xml:space="preserve">В соответствии с частью 22 статьи 22 Закона, а также постановлением Правительства РФ от 08.05.2020 № 645 "О федеральном органе исполнительной власти, уполномоченном на установление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порядок определения НМЦК на осуществление закупок охранных услуг устанавливается Федеральной службой войск национальной гвардии Российской Федерации. В целях реализации вышеуказанных полномочий утвержден приказ Росгвардии от 15.02.2021 N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(далее - Приказ). Расчет НМЦК произведен согласно требований Приказа. 
</t>
    </r>
    <r>
      <rPr>
        <sz val="12"/>
        <color rgb="FF000000"/>
        <rFont val="Times New Roman"/>
        <family val="1"/>
        <charset val="204"/>
      </rPr>
      <t xml:space="preserve">
</t>
    </r>
  </si>
  <si>
    <t>НМЦК, руб.</t>
  </si>
  <si>
    <t>2. Расчет НМЦК</t>
  </si>
  <si>
    <t>№ п/п</t>
  </si>
  <si>
    <t>Наименование показателя</t>
  </si>
  <si>
    <t>Формула, источник данных</t>
  </si>
  <si>
    <t>Единица измерения</t>
  </si>
  <si>
    <t>Значение</t>
  </si>
  <si>
    <t>Значение с округлением до 2-х знаков 
(за искл. ИПЦ)</t>
  </si>
  <si>
    <t>U-корректирующий коэффициент</t>
  </si>
  <si>
    <t>усл. ед.</t>
  </si>
  <si>
    <t>БЗП - базовая заработная плата работника (рублей/час)</t>
  </si>
  <si>
    <t>руб.</t>
  </si>
  <si>
    <t>Дн - доплата за работу в ночное время</t>
  </si>
  <si>
    <t>20% - ПП РФ от 22 июля 2008 г. N 554 "О минимальном размере повышения оплаты труда за работу в ночное время"</t>
  </si>
  <si>
    <t>Двп - доплата за работу в выходные и праздничные дни</t>
  </si>
  <si>
    <t xml:space="preserve">Дрк - доплата за районный коэффициент </t>
  </si>
  <si>
    <t>Постановление Госкомтруда СССР, Секретариата ВЦСПС от 02.07.1987 N 403/20-155 - 15%</t>
  </si>
  <si>
    <t>РО - резерв на отпуск</t>
  </si>
  <si>
    <t>СВ - страховые взносы</t>
  </si>
  <si>
    <t>СВ = (БЗП + Дн + Двп + Дрк + РО) * Y
Y - ставка страховых взносов 30,2%</t>
  </si>
  <si>
    <r>
      <rPr>
        <b/>
        <sz val="11"/>
        <rFont val="Times New Roman"/>
        <charset val="204"/>
      </rPr>
      <t>С</t>
    </r>
    <r>
      <rPr>
        <b/>
        <vertAlign val="subscript"/>
        <sz val="11"/>
        <rFont val="Times New Roman"/>
        <charset val="204"/>
      </rPr>
      <t>И</t>
    </r>
    <r>
      <rPr>
        <b/>
        <sz val="11"/>
        <rFont val="Times New Roman"/>
        <charset val="204"/>
      </rPr>
      <t xml:space="preserve"> - прямые затраты</t>
    </r>
  </si>
  <si>
    <t>Си = (БЗП + Дн + Двп + Дрк + РО + СВ) * U</t>
  </si>
  <si>
    <t>КР - косвенные расходы</t>
  </si>
  <si>
    <t xml:space="preserve">                                                                                                         в томчисле:</t>
  </si>
  <si>
    <t>час</t>
  </si>
  <si>
    <t>П - прибыль</t>
  </si>
  <si>
    <t xml:space="preserve">                                                                                                в том числе:</t>
  </si>
  <si>
    <t>итого</t>
  </si>
  <si>
    <t>НМЦК - начальная (максимальная) цена контракта</t>
  </si>
  <si>
    <t>руб. (без индекса и без НДС)</t>
  </si>
  <si>
    <r>
      <rPr>
        <sz val="11"/>
        <color rgb="FF000000"/>
        <rFont val="Times New Roman"/>
        <family val="1"/>
        <charset val="204"/>
      </rPr>
      <t xml:space="preserve">Iинфл - индекс потребительских цен на прочие услуги, принимаемый в соответствии с публикуемыми Минэкономразвития России прогнозами социально-экономического развития Российской Федерации 
Iинфл рассчитывается как среднее арифметическое между индексами потребительских цен на каждый год срока действия контракта.
</t>
    </r>
    <r>
      <rPr>
        <b/>
        <sz val="11"/>
        <color rgb="FF000000"/>
        <rFont val="Times New Roman"/>
        <charset val="204"/>
      </rPr>
      <t>В случае если расчет НМЦК и начало срока действия контракта приходятся на один год, то для этого года срока действия контракта значение Iинфл принимается равным единице.</t>
    </r>
  </si>
  <si>
    <t>НМЦК с учетом индекса</t>
  </si>
  <si>
    <t>НДС</t>
  </si>
  <si>
    <t>20% - п. 3 ст. 164 Налогового кодекса РФ</t>
  </si>
  <si>
    <t>ИТОГО НМЦК</t>
  </si>
  <si>
    <t>Согласно  ч.12 ст.22 Федерального закона от 05.04.2013 N 44-ФЗ "О контрактной системе в сфере закупок товаров, работ, услуг для обеспечения государственных и муниципальных нужд", а также руководствуясь ч. 2 ст. 72, п.3 ст. 219 Бюджетного кодекса РФ итоговая начальная  максимальная цена рассчитана исходя из выделенных лимитов бюджетных обязательств, доведенных главным распорядителем бюджетных средств, по минимальной цене.</t>
  </si>
  <si>
    <t xml:space="preserve">Таблица расчета начальной (максимальной) цены контракта    </t>
  </si>
  <si>
    <t>Начальная (максимальная) цена контракта определена посредством затратного метода в соответствии с приказом Федеральной службы войск национальной гвардии РФ от 15 февраля 2021 г. №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с учетом лимита финансирования Заказчиков.</t>
  </si>
  <si>
    <t>Наименование услуги</t>
  </si>
  <si>
    <t>Периодичность работы поста</t>
  </si>
  <si>
    <t>График работы поста (час)</t>
  </si>
  <si>
    <t>Количество постов охраны (пост)</t>
  </si>
  <si>
    <t xml:space="preserve">Количество </t>
  </si>
  <si>
    <t>Цена за единицу измерения в соответствии с Приказом Росгвардии от 15.02.2021 № 45  (руб.)</t>
  </si>
  <si>
    <t xml:space="preserve">Начальная (максимальная) цена контракта </t>
  </si>
  <si>
    <t>Услуги частной
охраны
(Выставление
постов охраны)</t>
  </si>
  <si>
    <t>Ежедневно</t>
  </si>
  <si>
    <t>Человеко-час</t>
  </si>
  <si>
    <t>Итого:</t>
  </si>
  <si>
    <t xml:space="preserve">Итого: Начальная (максимальная) цена контракта составляет </t>
  </si>
  <si>
    <t>рублей</t>
  </si>
  <si>
    <t>Ки - количество часов работы работника по контракту на 5-и постах охраны</t>
  </si>
  <si>
    <t xml:space="preserve">Оказание услуг по обеспечению комплекса мер, направленных на охрану объекта и имущества, размещённого на объекте </t>
  </si>
  <si>
    <t>* использован МРОТ установленный Федеральным законом от 19.12.2022 N 522-ФЗ</t>
  </si>
  <si>
    <r>
      <t>БЗП = МРОТ/СНР
МРОТ - минимальный размер оплаты труда: 22 440</t>
    </r>
    <r>
      <rPr>
        <sz val="11"/>
        <rFont val="Times New Roman"/>
        <charset val="204"/>
      </rPr>
      <t xml:space="preserve"> </t>
    </r>
    <r>
      <rPr>
        <sz val="11"/>
        <rFont val="Times New Roman"/>
        <family val="1"/>
        <charset val="204"/>
      </rPr>
      <t>руб.*
СНР -  среднемесячное количество рабочих часов одного работника поста охраны. Определяется по производственному календарю (для 40-часовой пятидневной рабочей недели) на 2025 год - 164,3 ч</t>
    </r>
  </si>
  <si>
    <r>
      <t>С учетом выделенных лимитов бюджетных обязательств НМЦК определена в размере</t>
    </r>
    <r>
      <rPr>
        <b/>
        <sz val="11"/>
        <color rgb="FF000000"/>
        <rFont val="Times New Roman"/>
        <family val="1"/>
        <charset val="204"/>
      </rPr>
      <t xml:space="preserve"> 4 470 000,00</t>
    </r>
    <r>
      <rPr>
        <sz val="11"/>
        <color rgb="FF000000"/>
        <rFont val="Times New Roman"/>
        <family val="1"/>
        <charset val="204"/>
      </rPr>
      <t xml:space="preserve"> </t>
    </r>
    <r>
      <rPr>
        <b/>
        <sz val="11"/>
        <color rgb="FF000000"/>
        <rFont val="Times New Roman"/>
        <family val="1"/>
        <charset val="204"/>
      </rPr>
      <t>рублей (250,00 руб./человеко-час)</t>
    </r>
  </si>
  <si>
    <t>С учетом выделенных лимитов бюджетных обязательств НМЦК определена в размере 250,00 руб./человеко-час</t>
  </si>
  <si>
    <t xml:space="preserve"> с 03.08.2025    12.00  час.  по   30.12.2025 г.    12.00  час.</t>
  </si>
  <si>
    <t>2025 г., в том числе:с 03.08.2025    12.00  час.  по   30.12.2025 г.    12.00  час.</t>
  </si>
  <si>
    <t>С учетом выделенных лимитов бюджетных обязательств НМЦК определена в размере 4 470 000,00 рублей (250,00 руб./человеко-час)</t>
  </si>
  <si>
    <t>U = Uб + Uд1 + Uд2 + Uд3 + Uд4 + Uд5
Uб - пост охраны в составе одного работника с режимом работы 24 часа = 1
Uд1 - наличие спецсредств у работника = 0,05
Uд2 - охрана объектов и (или) имущества, а также обеспечение внутриобъектового и пропускного режимов на объектах, в отношении которых установлены обязательные для выполнения требования к антитеррористической защищенности = 0,1</t>
  </si>
  <si>
    <t>В размере не менее двойной дневной или часовой тарифной ставки - ст. 153 ТК РФ. Статьей 112 Трудового кодекса Российской Федерации в 2025 году установлены  нерабочие праздничные дни в количестве 14 дней. При охране объектов используется рабочая неделя с предоставлением выходных дней по скользяцему графику (доплата за выходные дни не произодится в соответствии со с т. 111 ТК РФ), поэтому для расчета учитываются только нерабочие праздничные дни. Данное положение регламентируется правилами внутреннего трудового  распорядка, а для работников, режим рабочего времени которых отличается от общих правил, установленных у данного работадателя - трудовым договором. (Статьи 57, 100, 189 ТК РФ Трудового кодекса РФ)</t>
  </si>
</sst>
</file>

<file path=xl/styles.xml><?xml version="1.0" encoding="utf-8"?>
<styleSheet xmlns="http://schemas.openxmlformats.org/spreadsheetml/2006/main">
  <numFmts count="5">
    <numFmt numFmtId="164" formatCode="#,##0.00000"/>
    <numFmt numFmtId="165" formatCode="#,##0.00\ _₽"/>
    <numFmt numFmtId="166" formatCode="#,##0.0000"/>
    <numFmt numFmtId="167" formatCode="_-* #,##0_-;\-* #,##0_-;_-* \-??_-;_-@_-"/>
    <numFmt numFmtId="168" formatCode="_-* #,##0.00\ _₽_-;\-* #,##0.00\ _₽_-;_-* \-??\ _₽_-;_-@_-"/>
  </numFmts>
  <fonts count="26">
    <font>
      <sz val="11"/>
      <color rgb="FF000000"/>
      <name val="Calibri"/>
      <family val="2"/>
      <charset val="204"/>
    </font>
    <font>
      <sz val="10"/>
      <name val="Arial"/>
      <family val="2"/>
      <charset val="204"/>
    </font>
    <font>
      <sz val="10"/>
      <name val="Arial Cyr"/>
      <charset val="204"/>
    </font>
    <font>
      <sz val="11"/>
      <color rgb="FF000000"/>
      <name val="Calibri"/>
      <family val="2"/>
      <charset val="1"/>
    </font>
    <font>
      <sz val="12"/>
      <color rgb="FF000000"/>
      <name val="Times New Roman"/>
      <family val="2"/>
      <charset val="204"/>
    </font>
    <font>
      <sz val="11"/>
      <color rgb="FF000000"/>
      <name val="Times New Roman"/>
      <family val="1"/>
      <charset val="204"/>
    </font>
    <font>
      <b/>
      <sz val="12"/>
      <color rgb="FF000000"/>
      <name val="Times New Roman"/>
      <family val="1"/>
      <charset val="204"/>
    </font>
    <font>
      <b/>
      <sz val="14"/>
      <color rgb="FF000000"/>
      <name val="Times New Roman"/>
      <family val="1"/>
      <charset val="204"/>
    </font>
    <font>
      <sz val="12"/>
      <color rgb="FF000000"/>
      <name val="Times New Roman"/>
      <family val="1"/>
      <charset val="204"/>
    </font>
    <font>
      <sz val="12"/>
      <name val="Times New Roman"/>
      <family val="1"/>
      <charset val="204"/>
    </font>
    <font>
      <b/>
      <sz val="11"/>
      <name val="Times New Roman"/>
      <family val="1"/>
      <charset val="204"/>
    </font>
    <font>
      <sz val="11"/>
      <name val="Times New Roman"/>
      <family val="1"/>
      <charset val="204"/>
    </font>
    <font>
      <sz val="11"/>
      <name val="Times New Roman"/>
      <charset val="204"/>
    </font>
    <font>
      <i/>
      <sz val="11"/>
      <name val="Times New Roman"/>
      <charset val="204"/>
    </font>
    <font>
      <b/>
      <sz val="11"/>
      <name val="Times New Roman"/>
      <charset val="204"/>
    </font>
    <font>
      <b/>
      <vertAlign val="subscript"/>
      <sz val="11"/>
      <name val="Times New Roman"/>
      <charset val="204"/>
    </font>
    <font>
      <sz val="10"/>
      <name val="Times New Roman"/>
      <charset val="204"/>
    </font>
    <font>
      <b/>
      <sz val="11"/>
      <color rgb="FF000000"/>
      <name val="Times New Roman"/>
      <charset val="204"/>
    </font>
    <font>
      <b/>
      <i/>
      <sz val="11"/>
      <color rgb="FF000000"/>
      <name val="Times New Roman"/>
      <charset val="204"/>
    </font>
    <font>
      <b/>
      <sz val="11"/>
      <color rgb="FF000000"/>
      <name val="Times New Roman"/>
      <family val="1"/>
      <charset val="204"/>
    </font>
    <font>
      <sz val="11"/>
      <color rgb="FFFF0000"/>
      <name val="Times New Roman"/>
      <family val="1"/>
      <charset val="204"/>
    </font>
    <font>
      <b/>
      <i/>
      <sz val="10"/>
      <name val="Times New Roman"/>
      <family val="1"/>
      <charset val="204"/>
    </font>
    <font>
      <b/>
      <sz val="10"/>
      <name val="Times New Roman"/>
      <family val="1"/>
      <charset val="204"/>
    </font>
    <font>
      <sz val="10"/>
      <name val="Times New Roman"/>
      <family val="1"/>
      <charset val="204"/>
    </font>
    <font>
      <b/>
      <sz val="12"/>
      <name val="Times New Roman"/>
      <family val="1"/>
      <charset val="204"/>
    </font>
    <font>
      <sz val="12"/>
      <color rgb="FF000000"/>
      <name val="Calibri"/>
      <family val="2"/>
      <charset val="204"/>
    </font>
  </fonts>
  <fills count="3">
    <fill>
      <patternFill patternType="none"/>
    </fill>
    <fill>
      <patternFill patternType="gray125"/>
    </fill>
    <fill>
      <patternFill patternType="solid">
        <fgColor rgb="FFFFFFFF"/>
        <bgColor rgb="FFFFFFCC"/>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s>
  <cellStyleXfs count="6">
    <xf numFmtId="0" fontId="0" fillId="0" borderId="0"/>
    <xf numFmtId="0" fontId="1" fillId="0" borderId="0"/>
    <xf numFmtId="0" fontId="1" fillId="0" borderId="0"/>
    <xf numFmtId="0" fontId="2" fillId="0" borderId="0"/>
    <xf numFmtId="0" fontId="3" fillId="0" borderId="0"/>
    <xf numFmtId="0" fontId="4" fillId="0" borderId="0"/>
  </cellStyleXfs>
  <cellXfs count="98">
    <xf numFmtId="0" fontId="0" fillId="0" borderId="0" xfId="0"/>
    <xf numFmtId="0" fontId="5" fillId="0" borderId="0" xfId="0" applyFont="1"/>
    <xf numFmtId="0" fontId="7" fillId="0" borderId="0" xfId="4" applyFont="1" applyAlignment="1">
      <alignment horizontal="center" vertical="center"/>
    </xf>
    <xf numFmtId="0" fontId="8" fillId="0" borderId="0" xfId="0" applyFont="1"/>
    <xf numFmtId="0" fontId="6" fillId="0" borderId="0" xfId="4" applyFont="1" applyAlignment="1">
      <alignment horizontal="center" vertical="center"/>
    </xf>
    <xf numFmtId="0" fontId="6" fillId="0" borderId="1" xfId="4" applyFont="1" applyBorder="1" applyAlignment="1">
      <alignment horizontal="center" vertical="center"/>
    </xf>
    <xf numFmtId="0" fontId="8" fillId="0" borderId="1" xfId="4" applyFont="1" applyBorder="1" applyAlignment="1">
      <alignment horizontal="left" vertical="center" wrapText="1"/>
    </xf>
    <xf numFmtId="0" fontId="8" fillId="0" borderId="1" xfId="4" applyFont="1" applyBorder="1" applyAlignment="1">
      <alignment horizontal="left" vertical="center"/>
    </xf>
    <xf numFmtId="0" fontId="8" fillId="0" borderId="1" xfId="4" applyFont="1" applyBorder="1" applyAlignment="1">
      <alignment horizontal="left" vertical="top" wrapText="1"/>
    </xf>
    <xf numFmtId="0" fontId="9" fillId="0" borderId="1" xfId="4" applyFont="1" applyBorder="1" applyAlignment="1">
      <alignment horizontal="left" vertical="top" wrapText="1"/>
    </xf>
    <xf numFmtId="0" fontId="6" fillId="0" borderId="1" xfId="4" applyFont="1" applyBorder="1" applyAlignment="1">
      <alignment horizontal="left" vertical="center" wrapText="1"/>
    </xf>
    <xf numFmtId="4" fontId="6" fillId="0" borderId="1" xfId="4" applyNumberFormat="1" applyFont="1" applyBorder="1" applyAlignment="1">
      <alignment horizontal="right" vertical="center"/>
    </xf>
    <xf numFmtId="0" fontId="5" fillId="0" borderId="0" xfId="0" applyFont="1"/>
    <xf numFmtId="0" fontId="8" fillId="0" borderId="2" xfId="0" applyFont="1" applyBorder="1"/>
    <xf numFmtId="0" fontId="5" fillId="0" borderId="2" xfId="0" applyFont="1" applyBorder="1"/>
    <xf numFmtId="0" fontId="5" fillId="0" borderId="1" xfId="0" applyFont="1" applyBorder="1"/>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0" xfId="0" applyFont="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164" fontId="11" fillId="0" borderId="1" xfId="0" applyNumberFormat="1" applyFont="1" applyBorder="1" applyAlignment="1">
      <alignment vertical="center"/>
    </xf>
    <xf numFmtId="4" fontId="11" fillId="0" borderId="1" xfId="0" applyNumberFormat="1" applyFont="1" applyBorder="1" applyAlignment="1">
      <alignment horizontal="right" vertical="center"/>
    </xf>
    <xf numFmtId="0" fontId="11" fillId="0" borderId="1" xfId="0" applyFont="1" applyBorder="1" applyAlignment="1">
      <alignment vertical="center"/>
    </xf>
    <xf numFmtId="164" fontId="11" fillId="0" borderId="1" xfId="0" applyNumberFormat="1" applyFont="1" applyBorder="1" applyAlignment="1" applyProtection="1">
      <alignmen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0" fontId="14" fillId="0" borderId="1" xfId="0" applyFont="1" applyBorder="1" applyAlignment="1">
      <alignment horizontal="left" vertical="center" wrapText="1"/>
    </xf>
    <xf numFmtId="4" fontId="14" fillId="0" borderId="1" xfId="0" applyNumberFormat="1" applyFont="1" applyBorder="1" applyAlignment="1">
      <alignment horizontal="right" vertical="center"/>
    </xf>
    <xf numFmtId="4" fontId="11" fillId="0" borderId="1" xfId="0" applyNumberFormat="1" applyFont="1" applyBorder="1" applyAlignment="1" applyProtection="1">
      <alignment horizontal="right" vertical="center"/>
      <protection locked="0"/>
    </xf>
    <xf numFmtId="0" fontId="16" fillId="0" borderId="1" xfId="0" applyFont="1" applyBorder="1" applyAlignment="1">
      <alignment horizontal="center" vertical="center" wrapText="1"/>
    </xf>
    <xf numFmtId="4" fontId="16" fillId="0" borderId="1" xfId="0" applyNumberFormat="1" applyFont="1" applyBorder="1" applyAlignment="1" applyProtection="1">
      <alignment horizontal="right" vertical="center"/>
      <protection locked="0"/>
    </xf>
    <xf numFmtId="0" fontId="14" fillId="0" borderId="1" xfId="0" applyFont="1" applyBorder="1"/>
    <xf numFmtId="0" fontId="14" fillId="0" borderId="1" xfId="0" applyFont="1" applyBorder="1" applyAlignment="1">
      <alignment horizontal="right"/>
    </xf>
    <xf numFmtId="165" fontId="14" fillId="0" borderId="1" xfId="0" applyNumberFormat="1" applyFont="1" applyBorder="1"/>
    <xf numFmtId="0" fontId="17" fillId="0" borderId="0" xfId="0" applyFont="1"/>
    <xf numFmtId="0" fontId="5" fillId="0" borderId="2" xfId="0" applyFont="1" applyBorder="1"/>
    <xf numFmtId="0" fontId="5" fillId="0" borderId="1" xfId="0" applyFont="1" applyBorder="1"/>
    <xf numFmtId="0" fontId="18" fillId="0" borderId="4" xfId="0" applyFont="1" applyBorder="1"/>
    <xf numFmtId="0" fontId="5" fillId="0" borderId="5" xfId="0" applyFont="1" applyBorder="1"/>
    <xf numFmtId="0" fontId="5" fillId="0" borderId="6" xfId="0" applyFont="1" applyBorder="1"/>
    <xf numFmtId="0" fontId="5" fillId="0" borderId="7" xfId="0" applyFont="1" applyBorder="1"/>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xf>
    <xf numFmtId="0" fontId="5" fillId="0" borderId="1" xfId="0" applyFont="1" applyBorder="1" applyAlignment="1">
      <alignment horizontal="justify" vertical="center" wrapText="1"/>
    </xf>
    <xf numFmtId="164" fontId="17" fillId="2" borderId="1" xfId="0" applyNumberFormat="1" applyFont="1" applyFill="1" applyBorder="1" applyAlignment="1">
      <alignment horizontal="right" vertical="center" wrapText="1"/>
    </xf>
    <xf numFmtId="166" fontId="5" fillId="0" borderId="1" xfId="0" applyNumberFormat="1" applyFont="1" applyBorder="1" applyAlignment="1">
      <alignment horizontal="right" vertical="center" wrapText="1"/>
    </xf>
    <xf numFmtId="4" fontId="11" fillId="0" borderId="1" xfId="0" applyNumberFormat="1" applyFont="1" applyBorder="1"/>
    <xf numFmtId="4" fontId="11" fillId="0" borderId="1" xfId="0" applyNumberFormat="1" applyFont="1" applyBorder="1" applyAlignment="1">
      <alignment horizontal="right" vertical="center"/>
    </xf>
    <xf numFmtId="9" fontId="5"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4" fontId="19" fillId="0" borderId="1" xfId="0" applyNumberFormat="1" applyFont="1" applyBorder="1" applyAlignment="1">
      <alignment vertical="center"/>
    </xf>
    <xf numFmtId="4" fontId="19" fillId="0" borderId="1" xfId="0" applyNumberFormat="1" applyFont="1" applyBorder="1" applyAlignment="1">
      <alignment horizontal="right" vertical="center"/>
    </xf>
    <xf numFmtId="2" fontId="5" fillId="0" borderId="0" xfId="0" applyNumberFormat="1" applyFont="1"/>
    <xf numFmtId="0" fontId="20" fillId="0" borderId="0" xfId="0" applyFont="1" applyAlignment="1">
      <alignment vertical="center" wrapText="1"/>
    </xf>
    <xf numFmtId="0" fontId="0" fillId="0" borderId="0" xfId="0" applyAlignment="1">
      <alignment vertical="top"/>
    </xf>
    <xf numFmtId="0" fontId="5" fillId="0" borderId="0" xfId="0" applyFont="1" applyAlignment="1">
      <alignment vertical="top" wrapText="1"/>
    </xf>
    <xf numFmtId="0" fontId="23" fillId="0" borderId="1" xfId="0" applyFont="1" applyBorder="1" applyAlignment="1">
      <alignment horizontal="center" vertical="top" wrapText="1"/>
    </xf>
    <xf numFmtId="0" fontId="23" fillId="2" borderId="1" xfId="0" applyFont="1" applyFill="1" applyBorder="1" applyAlignment="1">
      <alignment horizontal="center" vertical="top" wrapText="1"/>
    </xf>
    <xf numFmtId="0" fontId="9" fillId="0" borderId="1" xfId="0" applyFont="1" applyBorder="1" applyAlignment="1">
      <alignment horizontal="center" vertical="top" wrapText="1"/>
    </xf>
    <xf numFmtId="167" fontId="9" fillId="0" borderId="1" xfId="0" applyNumberFormat="1" applyFont="1" applyBorder="1" applyAlignment="1">
      <alignment horizontal="left" vertical="top" wrapText="1"/>
    </xf>
    <xf numFmtId="164" fontId="9" fillId="2" borderId="1" xfId="0" applyNumberFormat="1" applyFont="1" applyFill="1" applyBorder="1" applyAlignment="1">
      <alignment horizontal="center" vertical="top" wrapText="1"/>
    </xf>
    <xf numFmtId="4" fontId="9" fillId="0" borderId="1" xfId="0" applyNumberFormat="1" applyFont="1" applyBorder="1" applyAlignment="1">
      <alignment horizontal="center" vertical="top" wrapText="1"/>
    </xf>
    <xf numFmtId="4" fontId="24" fillId="0" borderId="1" xfId="0" applyNumberFormat="1" applyFont="1" applyBorder="1" applyAlignment="1">
      <alignment horizontal="center" vertical="top" wrapText="1"/>
    </xf>
    <xf numFmtId="0" fontId="23" fillId="0" borderId="0" xfId="0" applyFont="1" applyAlignment="1">
      <alignment vertical="top" wrapText="1"/>
    </xf>
    <xf numFmtId="0" fontId="25" fillId="0" borderId="0" xfId="0" applyFont="1" applyAlignment="1">
      <alignment vertical="top"/>
    </xf>
    <xf numFmtId="168" fontId="25" fillId="0" borderId="0" xfId="0" applyNumberFormat="1" applyFont="1" applyAlignment="1">
      <alignment vertical="top"/>
    </xf>
    <xf numFmtId="0" fontId="8" fillId="0" borderId="1" xfId="0" applyFont="1" applyBorder="1" applyAlignment="1">
      <alignment wrapText="1"/>
    </xf>
    <xf numFmtId="4" fontId="6" fillId="0" borderId="1" xfId="0" applyNumberFormat="1" applyFont="1" applyBorder="1"/>
    <xf numFmtId="0" fontId="23" fillId="0" borderId="1" xfId="0" applyFont="1" applyBorder="1" applyAlignment="1">
      <alignment horizontal="left" vertical="center" wrapText="1" indent="15"/>
    </xf>
    <xf numFmtId="0" fontId="6" fillId="0" borderId="0" xfId="4" applyFont="1" applyBorder="1" applyAlignment="1">
      <alignment horizontal="center" vertical="center"/>
    </xf>
    <xf numFmtId="0" fontId="8" fillId="0" borderId="0" xfId="4" applyFont="1" applyBorder="1" applyAlignment="1">
      <alignment horizontal="left" vertical="center" wrapText="1"/>
    </xf>
    <xf numFmtId="0" fontId="7" fillId="0" borderId="1" xfId="4" applyFont="1" applyBorder="1" applyAlignment="1">
      <alignment horizontal="center" vertical="center"/>
    </xf>
    <xf numFmtId="0" fontId="11" fillId="0" borderId="1" xfId="0" applyFont="1" applyBorder="1" applyAlignment="1">
      <alignment horizontal="center" vertical="center"/>
    </xf>
    <xf numFmtId="0" fontId="5" fillId="0" borderId="0" xfId="0" applyFont="1" applyBorder="1" applyAlignment="1">
      <alignment horizontal="center"/>
    </xf>
    <xf numFmtId="0" fontId="5" fillId="0" borderId="0" xfId="0" applyFont="1" applyAlignment="1">
      <alignment horizontal="left" wrapText="1"/>
    </xf>
    <xf numFmtId="0" fontId="5" fillId="0" borderId="1"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horizontal="left" vertical="top" wrapText="1"/>
    </xf>
    <xf numFmtId="0" fontId="21" fillId="0" borderId="8" xfId="0" applyFont="1" applyBorder="1" applyAlignment="1">
      <alignment horizontal="left" vertical="top" wrapText="1"/>
    </xf>
    <xf numFmtId="0" fontId="22" fillId="0" borderId="3" xfId="0" applyFont="1" applyBorder="1" applyAlignment="1">
      <alignment horizontal="center" vertical="top" wrapText="1"/>
    </xf>
    <xf numFmtId="0" fontId="23" fillId="0" borderId="1" xfId="0" applyFont="1" applyBorder="1" applyAlignment="1">
      <alignment horizontal="center" vertical="top" wrapText="1"/>
    </xf>
    <xf numFmtId="0" fontId="22" fillId="2" borderId="1" xfId="0" applyFont="1" applyFill="1" applyBorder="1" applyAlignment="1">
      <alignment horizontal="center" vertical="top" wrapText="1"/>
    </xf>
    <xf numFmtId="0" fontId="22" fillId="0" borderId="1" xfId="0" applyFont="1" applyBorder="1" applyAlignment="1">
      <alignment horizontal="center" vertical="top" wrapText="1"/>
    </xf>
    <xf numFmtId="4" fontId="22" fillId="0" borderId="1" xfId="0" applyNumberFormat="1" applyFont="1" applyBorder="1" applyAlignment="1">
      <alignment horizontal="center" vertical="top" wrapText="1"/>
    </xf>
    <xf numFmtId="0" fontId="5" fillId="0" borderId="0" xfId="0" applyFont="1" applyBorder="1" applyAlignment="1">
      <alignment vertical="top" wrapText="1"/>
    </xf>
    <xf numFmtId="0" fontId="22" fillId="0" borderId="9" xfId="0" applyFont="1" applyBorder="1" applyAlignment="1">
      <alignment horizontal="left" vertical="top" wrapText="1"/>
    </xf>
    <xf numFmtId="4" fontId="25" fillId="0" borderId="0" xfId="0" applyNumberFormat="1" applyFont="1" applyBorder="1" applyAlignment="1">
      <alignment horizontal="center" vertical="top"/>
    </xf>
  </cellXfs>
  <cellStyles count="6">
    <cellStyle name="Обычный" xfId="0" builtinId="0"/>
    <cellStyle name="Обычный 15" xfId="1"/>
    <cellStyle name="Обычный 17" xfId="2"/>
    <cellStyle name="Обычный 2" xfId="3"/>
    <cellStyle name="Обычный 3" xfId="4"/>
    <cellStyle name="Обычный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2</xdr:col>
      <xdr:colOff>38160</xdr:colOff>
      <xdr:row>8</xdr:row>
      <xdr:rowOff>28440</xdr:rowOff>
    </xdr:from>
    <xdr:to>
      <xdr:col>2</xdr:col>
      <xdr:colOff>2678040</xdr:colOff>
      <xdr:row>8</xdr:row>
      <xdr:rowOff>532800</xdr:rowOff>
    </xdr:to>
    <xdr:pic>
      <xdr:nvPicPr>
        <xdr:cNvPr id="2" name="Рисунок 1" descr="base_1_383133_32772">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stretch/>
      </xdr:blipFill>
      <xdr:spPr>
        <a:xfrm>
          <a:off x="3223800" y="6810120"/>
          <a:ext cx="2639880" cy="504360"/>
        </a:xfrm>
        <a:prstGeom prst="rect">
          <a:avLst/>
        </a:prstGeom>
        <a:ln w="0">
          <a:noFill/>
        </a:ln>
      </xdr:spPr>
    </xdr:pic>
    <xdr:clientData/>
  </xdr:twoCellAnchor>
  <xdr:twoCellAnchor>
    <xdr:from>
      <xdr:col>2</xdr:col>
      <xdr:colOff>177120</xdr:colOff>
      <xdr:row>11</xdr:row>
      <xdr:rowOff>57240</xdr:rowOff>
    </xdr:from>
    <xdr:to>
      <xdr:col>2</xdr:col>
      <xdr:colOff>2442600</xdr:colOff>
      <xdr:row>11</xdr:row>
      <xdr:rowOff>437760</xdr:rowOff>
    </xdr:to>
    <xdr:pic>
      <xdr:nvPicPr>
        <xdr:cNvPr id="3" name="Рисунок 2" descr="base_1_383133_32769">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stretch/>
      </xdr:blipFill>
      <xdr:spPr>
        <a:xfrm>
          <a:off x="3362760" y="8010360"/>
          <a:ext cx="2265480" cy="380520"/>
        </a:xfrm>
        <a:prstGeom prst="rect">
          <a:avLst/>
        </a:prstGeom>
        <a:ln w="0">
          <a:noFill/>
        </a:ln>
      </xdr:spPr>
    </xdr:pic>
    <xdr:clientData/>
  </xdr:twoCellAnchor>
  <xdr:twoCellAnchor>
    <xdr:from>
      <xdr:col>2</xdr:col>
      <xdr:colOff>1080</xdr:colOff>
      <xdr:row>14</xdr:row>
      <xdr:rowOff>45000</xdr:rowOff>
    </xdr:from>
    <xdr:to>
      <xdr:col>2</xdr:col>
      <xdr:colOff>2655360</xdr:colOff>
      <xdr:row>14</xdr:row>
      <xdr:rowOff>436680</xdr:rowOff>
    </xdr:to>
    <xdr:pic>
      <xdr:nvPicPr>
        <xdr:cNvPr id="4" name="Рисунок 3" descr="base_1_383133_32770">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3" cstate="print"/>
        <a:stretch/>
      </xdr:blipFill>
      <xdr:spPr>
        <a:xfrm>
          <a:off x="3186720" y="9465120"/>
          <a:ext cx="2654280" cy="391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9360</xdr:colOff>
      <xdr:row>4</xdr:row>
      <xdr:rowOff>304920</xdr:rowOff>
    </xdr:from>
    <xdr:to>
      <xdr:col>2</xdr:col>
      <xdr:colOff>4647600</xdr:colOff>
      <xdr:row>4</xdr:row>
      <xdr:rowOff>961920</xdr:rowOff>
    </xdr:to>
    <xdr:pic>
      <xdr:nvPicPr>
        <xdr:cNvPr id="3" name="Рисунок 1" descr="base_1_383133_32768">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stretch/>
      </xdr:blipFill>
      <xdr:spPr>
        <a:xfrm>
          <a:off x="3195000" y="1828800"/>
          <a:ext cx="4638240" cy="657000"/>
        </a:xfrm>
        <a:prstGeom prst="rect">
          <a:avLst/>
        </a:prstGeom>
        <a:ln w="0">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MJ9"/>
  <sheetViews>
    <sheetView zoomScaleNormal="100" workbookViewId="0">
      <selection activeCell="B13" sqref="B13"/>
    </sheetView>
  </sheetViews>
  <sheetFormatPr defaultColWidth="9.140625" defaultRowHeight="15"/>
  <cols>
    <col min="1" max="1" width="65.42578125" style="1" customWidth="1"/>
    <col min="2" max="2" width="103.7109375" style="1" customWidth="1"/>
    <col min="3" max="3" width="9.140625" style="1"/>
    <col min="4" max="4" width="12.140625" style="1" customWidth="1"/>
    <col min="5" max="1024" width="9.140625" style="1"/>
  </cols>
  <sheetData>
    <row r="1" spans="1:6" ht="18.75">
      <c r="A1" s="80" t="s">
        <v>0</v>
      </c>
      <c r="B1" s="80"/>
      <c r="C1" s="2"/>
      <c r="D1" s="2"/>
      <c r="E1" s="2"/>
      <c r="F1" s="2"/>
    </row>
    <row r="2" spans="1:6" ht="18.75">
      <c r="A2" s="3" t="s">
        <v>1</v>
      </c>
      <c r="B2" s="4"/>
      <c r="C2" s="2"/>
      <c r="D2" s="2"/>
      <c r="E2" s="2"/>
      <c r="F2" s="2"/>
    </row>
    <row r="3" spans="1:6" ht="15" customHeight="1">
      <c r="A3" s="3"/>
      <c r="B3" s="3"/>
    </row>
    <row r="4" spans="1:6" ht="20.25" customHeight="1">
      <c r="A4" s="5" t="s">
        <v>2</v>
      </c>
      <c r="B4" s="5" t="s">
        <v>3</v>
      </c>
    </row>
    <row r="5" spans="1:6" ht="44.25" customHeight="1">
      <c r="A5" s="6" t="s">
        <v>4</v>
      </c>
      <c r="B5" s="7" t="s">
        <v>5</v>
      </c>
    </row>
    <row r="6" spans="1:6" ht="176.25" customHeight="1">
      <c r="A6" s="8" t="s">
        <v>6</v>
      </c>
      <c r="B6" s="9" t="s">
        <v>7</v>
      </c>
    </row>
    <row r="7" spans="1:6" ht="35.25" customHeight="1">
      <c r="A7" s="10" t="s">
        <v>8</v>
      </c>
      <c r="B7" s="11">
        <f>'расчет за человеко-час'!J7</f>
        <v>7611310.0224000001</v>
      </c>
    </row>
    <row r="8" spans="1:6" ht="73.5" customHeight="1">
      <c r="A8" s="77" t="s">
        <v>64</v>
      </c>
      <c r="B8" s="78">
        <f>'Расчет НМЦК_24 ч_КТРУ 003'!F13*250</f>
        <v>4470000</v>
      </c>
    </row>
    <row r="9" spans="1:6" ht="40.5" customHeight="1">
      <c r="A9" s="81"/>
      <c r="B9" s="81"/>
    </row>
  </sheetData>
  <mergeCells count="2">
    <mergeCell ref="A1:B1"/>
    <mergeCell ref="A9:B9"/>
  </mergeCells>
  <pageMargins left="0.2" right="0.2" top="0.179861111111111" bottom="0.17013888888888901"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AMJ18"/>
  <sheetViews>
    <sheetView tabSelected="1" topLeftCell="A10" zoomScaleNormal="100" workbookViewId="0">
      <selection activeCell="C7" sqref="C7"/>
    </sheetView>
  </sheetViews>
  <sheetFormatPr defaultColWidth="9.140625" defaultRowHeight="15"/>
  <cols>
    <col min="1" max="1" width="7.28515625" style="12" customWidth="1"/>
    <col min="2" max="2" width="37.85546875" style="12" customWidth="1"/>
    <col min="3" max="3" width="73.85546875" style="12" customWidth="1"/>
    <col min="4" max="4" width="12.7109375" style="12" customWidth="1"/>
    <col min="5" max="5" width="18.85546875" style="12" customWidth="1"/>
    <col min="6" max="6" width="18.140625" style="12" customWidth="1"/>
    <col min="7" max="1024" width="9.140625" style="12"/>
  </cols>
  <sheetData>
    <row r="1" spans="1:9" ht="18.75">
      <c r="A1" s="82" t="s">
        <v>0</v>
      </c>
      <c r="B1" s="82"/>
      <c r="C1" s="82"/>
      <c r="D1" s="82"/>
      <c r="E1" s="82"/>
      <c r="F1" s="82"/>
    </row>
    <row r="2" spans="1:9" ht="24" customHeight="1">
      <c r="A2" s="13" t="s">
        <v>9</v>
      </c>
      <c r="B2" s="14"/>
      <c r="C2" s="14"/>
      <c r="D2" s="14"/>
      <c r="E2" s="15"/>
      <c r="F2" s="15"/>
    </row>
    <row r="3" spans="1:9" ht="69.75" customHeight="1">
      <c r="A3" s="16" t="s">
        <v>10</v>
      </c>
      <c r="B3" s="16" t="s">
        <v>11</v>
      </c>
      <c r="C3" s="16" t="s">
        <v>12</v>
      </c>
      <c r="D3" s="17" t="s">
        <v>13</v>
      </c>
      <c r="E3" s="18" t="s">
        <v>14</v>
      </c>
      <c r="F3" s="18" t="s">
        <v>15</v>
      </c>
      <c r="G3" s="19"/>
      <c r="H3" s="19"/>
    </row>
    <row r="4" spans="1:9" ht="106.5" customHeight="1">
      <c r="A4" s="20">
        <v>1</v>
      </c>
      <c r="B4" s="21" t="s">
        <v>16</v>
      </c>
      <c r="C4" s="21" t="s">
        <v>68</v>
      </c>
      <c r="D4" s="22" t="s">
        <v>17</v>
      </c>
      <c r="E4" s="23">
        <f>1+0.1+0.05</f>
        <v>1.1500000000000001</v>
      </c>
      <c r="F4" s="24">
        <f t="shared" ref="F4:F11" si="0">ROUND(E4,2)</f>
        <v>1.1499999999999999</v>
      </c>
    </row>
    <row r="5" spans="1:9" ht="87" customHeight="1">
      <c r="A5" s="20">
        <v>2</v>
      </c>
      <c r="B5" s="21" t="s">
        <v>18</v>
      </c>
      <c r="C5" s="21" t="s">
        <v>62</v>
      </c>
      <c r="D5" s="22" t="s">
        <v>19</v>
      </c>
      <c r="E5" s="23">
        <f>22440/164.3</f>
        <v>136.57942787583687</v>
      </c>
      <c r="F5" s="24">
        <f t="shared" si="0"/>
        <v>136.58000000000001</v>
      </c>
    </row>
    <row r="6" spans="1:9" ht="36.75" customHeight="1">
      <c r="A6" s="20">
        <v>3</v>
      </c>
      <c r="B6" s="25" t="s">
        <v>20</v>
      </c>
      <c r="C6" s="21" t="s">
        <v>21</v>
      </c>
      <c r="D6" s="22" t="s">
        <v>19</v>
      </c>
      <c r="E6" s="26">
        <f>F5*0.2/3</f>
        <v>9.1053333333333342</v>
      </c>
      <c r="F6" s="24">
        <f t="shared" si="0"/>
        <v>9.11</v>
      </c>
    </row>
    <row r="7" spans="1:9" ht="156.75" customHeight="1">
      <c r="A7" s="20">
        <v>4</v>
      </c>
      <c r="B7" s="21" t="s">
        <v>22</v>
      </c>
      <c r="C7" s="21" t="s">
        <v>69</v>
      </c>
      <c r="D7" s="22" t="s">
        <v>19</v>
      </c>
      <c r="E7" s="23">
        <f>F5*(14/365)</f>
        <v>5.2386849315068504</v>
      </c>
      <c r="F7" s="24">
        <f t="shared" si="0"/>
        <v>5.24</v>
      </c>
    </row>
    <row r="8" spans="1:9" ht="41.25" customHeight="1">
      <c r="A8" s="20">
        <v>5</v>
      </c>
      <c r="B8" s="27" t="s">
        <v>23</v>
      </c>
      <c r="C8" s="27" t="s">
        <v>24</v>
      </c>
      <c r="D8" s="28" t="s">
        <v>19</v>
      </c>
      <c r="E8" s="29">
        <f>(F5+F6+F7)*0.15</f>
        <v>22.639500000000002</v>
      </c>
      <c r="F8" s="30">
        <f t="shared" si="0"/>
        <v>22.64</v>
      </c>
    </row>
    <row r="9" spans="1:9" ht="44.25" customHeight="1">
      <c r="A9" s="20">
        <v>6</v>
      </c>
      <c r="B9" s="21" t="s">
        <v>25</v>
      </c>
      <c r="C9" s="21"/>
      <c r="D9" s="22" t="s">
        <v>19</v>
      </c>
      <c r="E9" s="31">
        <f>(F5+F6+F7+F8)/12</f>
        <v>14.464166666666666</v>
      </c>
      <c r="F9" s="24">
        <f t="shared" si="0"/>
        <v>14.46</v>
      </c>
    </row>
    <row r="10" spans="1:9" ht="30">
      <c r="A10" s="20">
        <v>7</v>
      </c>
      <c r="B10" s="21" t="s">
        <v>26</v>
      </c>
      <c r="C10" s="21" t="s">
        <v>27</v>
      </c>
      <c r="D10" s="22" t="s">
        <v>19</v>
      </c>
      <c r="E10" s="31">
        <f>(F5+F6+F7+F8+F9)*0.302</f>
        <v>56.785060000000001</v>
      </c>
      <c r="F10" s="24">
        <f t="shared" si="0"/>
        <v>56.79</v>
      </c>
    </row>
    <row r="11" spans="1:9" ht="18" customHeight="1">
      <c r="A11" s="20">
        <v>8</v>
      </c>
      <c r="B11" s="32" t="s">
        <v>28</v>
      </c>
      <c r="C11" s="21" t="s">
        <v>29</v>
      </c>
      <c r="D11" s="22" t="s">
        <v>19</v>
      </c>
      <c r="E11" s="31">
        <f>(F5+F6+F7+F8+F9+F10)*F4</f>
        <v>281.54299999999995</v>
      </c>
      <c r="F11" s="33">
        <f t="shared" si="0"/>
        <v>281.54000000000002</v>
      </c>
    </row>
    <row r="12" spans="1:9" ht="41.25" customHeight="1">
      <c r="A12" s="83">
        <v>9</v>
      </c>
      <c r="B12" s="32" t="s">
        <v>30</v>
      </c>
      <c r="C12" s="21" t="s">
        <v>31</v>
      </c>
      <c r="D12" s="22" t="s">
        <v>19</v>
      </c>
      <c r="E12" s="31">
        <f>F11*F13*0.2</f>
        <v>1006787.04</v>
      </c>
      <c r="F12" s="33">
        <f t="shared" ref="F12:F16" si="1">E12</f>
        <v>1006787.04</v>
      </c>
      <c r="H12" s="1"/>
      <c r="I12" s="1"/>
    </row>
    <row r="13" spans="1:9" ht="33.75" customHeight="1">
      <c r="A13" s="83"/>
      <c r="B13" s="21" t="s">
        <v>59</v>
      </c>
      <c r="C13" s="21" t="s">
        <v>66</v>
      </c>
      <c r="D13" s="22" t="s">
        <v>32</v>
      </c>
      <c r="E13" s="34">
        <f>E14</f>
        <v>17880</v>
      </c>
      <c r="F13" s="34">
        <f t="shared" si="1"/>
        <v>17880</v>
      </c>
      <c r="H13" s="1"/>
      <c r="I13" s="1"/>
    </row>
    <row r="14" spans="1:9" ht="20.25" hidden="1" customHeight="1">
      <c r="A14" s="20"/>
      <c r="B14" s="21"/>
      <c r="C14" s="79" t="s">
        <v>65</v>
      </c>
      <c r="D14" s="35" t="s">
        <v>32</v>
      </c>
      <c r="E14" s="36">
        <v>17880</v>
      </c>
      <c r="F14" s="36">
        <f t="shared" si="1"/>
        <v>17880</v>
      </c>
      <c r="H14" s="1"/>
      <c r="I14" s="1"/>
    </row>
    <row r="15" spans="1:9" ht="35.25" customHeight="1">
      <c r="A15" s="20">
        <v>10</v>
      </c>
      <c r="B15" s="21" t="s">
        <v>33</v>
      </c>
      <c r="C15" s="21" t="s">
        <v>34</v>
      </c>
      <c r="D15" s="22" t="s">
        <v>19</v>
      </c>
      <c r="E15" s="31">
        <f>((F11*F13)+F12)*0.05</f>
        <v>302036.11200000002</v>
      </c>
      <c r="F15" s="24">
        <f t="shared" si="1"/>
        <v>302036.11200000002</v>
      </c>
      <c r="H15" s="1"/>
      <c r="I15" s="1"/>
    </row>
    <row r="16" spans="1:9" s="40" customFormat="1" ht="39.75" customHeight="1">
      <c r="A16" s="37"/>
      <c r="B16" s="37"/>
      <c r="C16" s="38" t="s">
        <v>35</v>
      </c>
      <c r="D16" s="37" t="s">
        <v>19</v>
      </c>
      <c r="E16" s="39">
        <f>(F13*F11)+F12+F15</f>
        <v>6342758.352</v>
      </c>
      <c r="F16" s="39">
        <f t="shared" si="1"/>
        <v>6342758.352</v>
      </c>
      <c r="H16" s="1"/>
      <c r="I16" s="1"/>
    </row>
    <row r="17" spans="2:9">
      <c r="H17" s="1"/>
      <c r="I17" s="1"/>
    </row>
    <row r="18" spans="2:9" ht="18.75" customHeight="1">
      <c r="B18" s="85" t="s">
        <v>61</v>
      </c>
      <c r="C18" s="85"/>
      <c r="H18" s="84"/>
      <c r="I18" s="84"/>
    </row>
  </sheetData>
  <mergeCells count="4">
    <mergeCell ref="A1:F1"/>
    <mergeCell ref="A12:A13"/>
    <mergeCell ref="H18:I18"/>
    <mergeCell ref="B18:C18"/>
  </mergeCells>
  <pageMargins left="0.2" right="0.2" top="0.17013888888888901" bottom="0.17013888888888901" header="0.51180555555555496" footer="0.51180555555555496"/>
  <pageSetup paperSize="9" firstPageNumber="0" orientation="landscape" horizontalDpi="300" verticalDpi="300"/>
  <drawing r:id="rId1"/>
</worksheet>
</file>

<file path=xl/worksheets/sheet3.xml><?xml version="1.0" encoding="utf-8"?>
<worksheet xmlns="http://schemas.openxmlformats.org/spreadsheetml/2006/main" xmlns:r="http://schemas.openxmlformats.org/officeDocument/2006/relationships">
  <dimension ref="A1:AMJ13"/>
  <sheetViews>
    <sheetView zoomScaleNormal="100" workbookViewId="0">
      <selection activeCell="A13" sqref="A13:F13"/>
    </sheetView>
  </sheetViews>
  <sheetFormatPr defaultColWidth="9.140625" defaultRowHeight="15"/>
  <cols>
    <col min="1" max="1" width="7.28515625" style="1" customWidth="1"/>
    <col min="2" max="2" width="37.85546875" style="1" customWidth="1"/>
    <col min="3" max="3" width="72.140625" style="1" customWidth="1"/>
    <col min="4" max="4" width="12.7109375" style="1" customWidth="1"/>
    <col min="5" max="5" width="18.85546875" style="1" customWidth="1"/>
    <col min="6" max="6" width="19.7109375" style="1" customWidth="1"/>
    <col min="7" max="1024" width="9.140625" style="1"/>
  </cols>
  <sheetData>
    <row r="1" spans="1:10" ht="18.75">
      <c r="A1" s="82" t="s">
        <v>0</v>
      </c>
      <c r="B1" s="82"/>
      <c r="C1" s="82"/>
      <c r="D1" s="82"/>
      <c r="E1" s="82"/>
      <c r="F1" s="82"/>
    </row>
    <row r="2" spans="1:10">
      <c r="A2" s="41" t="s">
        <v>9</v>
      </c>
      <c r="B2" s="41"/>
      <c r="C2" s="41"/>
      <c r="D2" s="41"/>
      <c r="E2" s="42"/>
      <c r="F2" s="42"/>
    </row>
    <row r="3" spans="1:10">
      <c r="A3" s="43"/>
      <c r="B3" s="44"/>
      <c r="C3" s="44"/>
      <c r="D3" s="45"/>
      <c r="E3" s="46"/>
      <c r="F3" s="42"/>
    </row>
    <row r="4" spans="1:10" ht="69.75" customHeight="1">
      <c r="A4" s="47" t="s">
        <v>10</v>
      </c>
      <c r="B4" s="47" t="s">
        <v>11</v>
      </c>
      <c r="C4" s="47" t="s">
        <v>12</v>
      </c>
      <c r="D4" s="48" t="s">
        <v>13</v>
      </c>
      <c r="E4" s="49" t="s">
        <v>14</v>
      </c>
      <c r="F4" s="49" t="s">
        <v>15</v>
      </c>
    </row>
    <row r="5" spans="1:10" ht="76.5" customHeight="1">
      <c r="A5" s="86">
        <v>1</v>
      </c>
      <c r="B5" s="50" t="s">
        <v>36</v>
      </c>
      <c r="C5" s="51"/>
      <c r="D5" s="52" t="s">
        <v>37</v>
      </c>
      <c r="E5" s="53">
        <f>'Расчет НМЦК_24 ч_КТРУ 003'!F16</f>
        <v>6342758.352</v>
      </c>
      <c r="F5" s="53">
        <f>E5</f>
        <v>6342758.352</v>
      </c>
    </row>
    <row r="6" spans="1:10" ht="132" customHeight="1">
      <c r="A6" s="86"/>
      <c r="B6" s="42"/>
      <c r="C6" s="54" t="s">
        <v>38</v>
      </c>
      <c r="D6" s="52" t="s">
        <v>17</v>
      </c>
      <c r="E6" s="55">
        <v>1</v>
      </c>
      <c r="F6" s="56"/>
    </row>
    <row r="7" spans="1:10" ht="15.75" customHeight="1">
      <c r="A7" s="86"/>
      <c r="B7" s="42" t="s">
        <v>39</v>
      </c>
      <c r="C7" s="50"/>
      <c r="D7" s="52" t="s">
        <v>19</v>
      </c>
      <c r="E7" s="57">
        <f>E5*E6</f>
        <v>6342758.352</v>
      </c>
      <c r="F7" s="58">
        <f>E7</f>
        <v>6342758.352</v>
      </c>
    </row>
    <row r="8" spans="1:10">
      <c r="A8" s="86"/>
      <c r="B8" s="50" t="s">
        <v>40</v>
      </c>
      <c r="C8" s="59" t="s">
        <v>41</v>
      </c>
      <c r="D8" s="52" t="s">
        <v>19</v>
      </c>
      <c r="E8" s="58">
        <f>F7*0.2</f>
        <v>1268551.6704000002</v>
      </c>
      <c r="F8" s="58">
        <f>E8</f>
        <v>1268551.6704000002</v>
      </c>
    </row>
    <row r="9" spans="1:10">
      <c r="A9" s="86"/>
      <c r="B9" s="60" t="s">
        <v>42</v>
      </c>
      <c r="C9" s="50"/>
      <c r="D9" s="52" t="s">
        <v>19</v>
      </c>
      <c r="E9" s="61"/>
      <c r="F9" s="62">
        <f>F8+F7</f>
        <v>7611310.0224000001</v>
      </c>
    </row>
    <row r="11" spans="1:10">
      <c r="E11" s="63"/>
    </row>
    <row r="12" spans="1:10" s="65" customFormat="1" ht="62.25" customHeight="1">
      <c r="A12" s="87" t="s">
        <v>43</v>
      </c>
      <c r="B12" s="87"/>
      <c r="C12" s="87"/>
      <c r="D12" s="87"/>
      <c r="E12" s="87"/>
      <c r="F12" s="87"/>
      <c r="G12" s="64"/>
      <c r="H12" s="64"/>
      <c r="I12" s="64"/>
      <c r="J12" s="64"/>
    </row>
    <row r="13" spans="1:10" s="65" customFormat="1" ht="36.75" customHeight="1">
      <c r="A13" s="88" t="s">
        <v>63</v>
      </c>
      <c r="B13" s="88"/>
      <c r="C13" s="88"/>
      <c r="D13" s="88"/>
      <c r="E13" s="88"/>
      <c r="F13" s="88"/>
      <c r="G13" s="66"/>
      <c r="H13" s="66"/>
      <c r="I13" s="66"/>
      <c r="J13" s="66"/>
    </row>
  </sheetData>
  <mergeCells count="4">
    <mergeCell ref="A1:F1"/>
    <mergeCell ref="A5:A9"/>
    <mergeCell ref="A12:F12"/>
    <mergeCell ref="A13:F13"/>
  </mergeCells>
  <pageMargins left="0.2" right="0.2" top="0.17013888888888901" bottom="0.17013888888888901" header="0.51180555555555496" footer="0.51180555555555496"/>
  <pageSetup paperSize="9" scale="66"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dimension ref="A1:AMJ14"/>
  <sheetViews>
    <sheetView topLeftCell="A2" zoomScale="120" zoomScaleNormal="120" workbookViewId="0">
      <selection activeCell="A15" sqref="A15"/>
    </sheetView>
  </sheetViews>
  <sheetFormatPr defaultColWidth="9.140625" defaultRowHeight="15"/>
  <cols>
    <col min="1" max="1" width="6.85546875" style="65" customWidth="1"/>
    <col min="2" max="2" width="16.140625" style="65" customWidth="1"/>
    <col min="3" max="3" width="13.140625" style="65" customWidth="1"/>
    <col min="4" max="4" width="3.28515625" style="65" customWidth="1"/>
    <col min="5" max="5" width="12.5703125" style="65" customWidth="1"/>
    <col min="6" max="6" width="11.5703125" style="65" customWidth="1"/>
    <col min="7" max="7" width="9.28515625" style="65" customWidth="1"/>
    <col min="8" max="8" width="11.7109375" style="65" customWidth="1"/>
    <col min="9" max="9" width="16.28515625" style="65" customWidth="1"/>
    <col min="10" max="10" width="20.5703125" style="65" customWidth="1"/>
    <col min="11" max="11" width="14.7109375" style="65" customWidth="1"/>
    <col min="12" max="12" width="19" style="65" customWidth="1"/>
    <col min="13" max="13" width="9.140625" style="65"/>
    <col min="14" max="14" width="16.140625" style="65" customWidth="1"/>
    <col min="15" max="1024" width="9.140625" style="65"/>
  </cols>
  <sheetData>
    <row r="1" spans="1:10">
      <c r="A1" s="89"/>
      <c r="B1" s="89"/>
      <c r="C1" s="89"/>
      <c r="D1" s="89"/>
      <c r="E1" s="89"/>
      <c r="F1" s="89"/>
      <c r="G1" s="89"/>
      <c r="H1" s="89"/>
      <c r="I1" s="89"/>
      <c r="J1" s="89"/>
    </row>
    <row r="2" spans="1:10" ht="20.25" customHeight="1">
      <c r="A2" s="90" t="s">
        <v>44</v>
      </c>
      <c r="B2" s="90"/>
      <c r="C2" s="90"/>
      <c r="D2" s="90"/>
      <c r="E2" s="90"/>
      <c r="F2" s="90"/>
      <c r="G2" s="90"/>
      <c r="H2" s="90"/>
      <c r="I2" s="90"/>
      <c r="J2" s="90"/>
    </row>
    <row r="3" spans="1:10" ht="59.25" customHeight="1">
      <c r="A3" s="91" t="s">
        <v>45</v>
      </c>
      <c r="B3" s="91"/>
      <c r="C3" s="91"/>
      <c r="D3" s="91"/>
      <c r="E3" s="91"/>
      <c r="F3" s="91"/>
      <c r="G3" s="91"/>
      <c r="H3" s="91"/>
      <c r="I3" s="91"/>
      <c r="J3" s="91"/>
    </row>
    <row r="4" spans="1:10" ht="29.25" customHeight="1">
      <c r="A4" s="92" t="s">
        <v>60</v>
      </c>
      <c r="B4" s="92"/>
      <c r="C4" s="92"/>
      <c r="D4" s="92"/>
      <c r="E4" s="92"/>
      <c r="F4" s="92"/>
      <c r="G4" s="92"/>
      <c r="H4" s="92"/>
      <c r="I4" s="92"/>
      <c r="J4" s="92"/>
    </row>
    <row r="5" spans="1:10" ht="15" customHeight="1">
      <c r="A5" s="93" t="s">
        <v>10</v>
      </c>
      <c r="B5" s="93" t="s">
        <v>46</v>
      </c>
      <c r="C5" s="93" t="s">
        <v>47</v>
      </c>
      <c r="D5" s="93"/>
      <c r="E5" s="93" t="s">
        <v>48</v>
      </c>
      <c r="F5" s="93" t="s">
        <v>49</v>
      </c>
      <c r="G5" s="93" t="s">
        <v>13</v>
      </c>
      <c r="H5" s="93" t="s">
        <v>50</v>
      </c>
      <c r="I5" s="93" t="s">
        <v>51</v>
      </c>
      <c r="J5" s="94" t="s">
        <v>52</v>
      </c>
    </row>
    <row r="6" spans="1:10" ht="76.5" customHeight="1">
      <c r="A6" s="93"/>
      <c r="B6" s="93"/>
      <c r="C6" s="93"/>
      <c r="D6" s="93"/>
      <c r="E6" s="93"/>
      <c r="F6" s="93"/>
      <c r="G6" s="93"/>
      <c r="H6" s="93"/>
      <c r="I6" s="93"/>
      <c r="J6" s="94"/>
    </row>
    <row r="7" spans="1:10" ht="53.25" customHeight="1">
      <c r="A7" s="68">
        <v>1</v>
      </c>
      <c r="B7" s="68" t="s">
        <v>53</v>
      </c>
      <c r="C7" s="91" t="s">
        <v>54</v>
      </c>
      <c r="D7" s="91"/>
      <c r="E7" s="69">
        <v>24</v>
      </c>
      <c r="F7" s="69">
        <v>5</v>
      </c>
      <c r="G7" s="67" t="s">
        <v>55</v>
      </c>
      <c r="H7" s="70">
        <f>'Расчет НМЦК_24 ч_КТРУ 003'!E13</f>
        <v>17880</v>
      </c>
      <c r="I7" s="71">
        <f>'Расчет НМЦК_сумма'!F9/H7</f>
        <v>425.68848000000003</v>
      </c>
      <c r="J7" s="72">
        <f>H7*I7</f>
        <v>7611310.0224000001</v>
      </c>
    </row>
    <row r="8" spans="1:10" ht="18" customHeight="1">
      <c r="A8" s="96" t="s">
        <v>56</v>
      </c>
      <c r="B8" s="96"/>
      <c r="C8" s="96"/>
      <c r="D8" s="96"/>
      <c r="E8" s="96"/>
      <c r="F8" s="96"/>
      <c r="G8" s="96"/>
      <c r="H8" s="96"/>
      <c r="I8" s="96"/>
      <c r="J8" s="73">
        <f>ROUND(J7,2)</f>
        <v>7611310.0199999996</v>
      </c>
    </row>
    <row r="9" spans="1:10">
      <c r="A9" s="74"/>
      <c r="B9" s="74"/>
      <c r="C9" s="74"/>
      <c r="D9" s="74"/>
      <c r="E9" s="74"/>
      <c r="F9" s="74"/>
      <c r="G9" s="74"/>
      <c r="H9" s="74"/>
      <c r="I9" s="74"/>
      <c r="J9" s="74"/>
    </row>
    <row r="10" spans="1:10" ht="15.75">
      <c r="A10" s="75" t="s">
        <v>57</v>
      </c>
      <c r="B10" s="75"/>
      <c r="C10" s="75"/>
      <c r="D10" s="75"/>
      <c r="E10" s="76"/>
      <c r="F10" s="76"/>
      <c r="G10" s="97">
        <f>J8</f>
        <v>7611310.0199999996</v>
      </c>
      <c r="H10" s="97"/>
      <c r="I10" s="75" t="s">
        <v>58</v>
      </c>
    </row>
    <row r="13" spans="1:10" ht="62.25" customHeight="1">
      <c r="A13" s="87" t="s">
        <v>43</v>
      </c>
      <c r="B13" s="87"/>
      <c r="C13" s="87"/>
      <c r="D13" s="87"/>
      <c r="E13" s="87"/>
      <c r="F13" s="87"/>
      <c r="G13" s="87"/>
      <c r="H13" s="87"/>
      <c r="I13" s="87"/>
      <c r="J13" s="87"/>
    </row>
    <row r="14" spans="1:10" ht="36.75" customHeight="1">
      <c r="A14" s="95" t="s">
        <v>67</v>
      </c>
      <c r="B14" s="95"/>
      <c r="C14" s="95"/>
      <c r="D14" s="95"/>
      <c r="E14" s="95"/>
      <c r="F14" s="95"/>
      <c r="G14" s="95"/>
      <c r="H14" s="95"/>
      <c r="I14" s="95"/>
      <c r="J14" s="95"/>
    </row>
  </sheetData>
  <mergeCells count="18">
    <mergeCell ref="A13:J13"/>
    <mergeCell ref="A14:J14"/>
    <mergeCell ref="C7:D7"/>
    <mergeCell ref="A8:I8"/>
    <mergeCell ref="G10:H10"/>
    <mergeCell ref="A1:J1"/>
    <mergeCell ref="A2:J2"/>
    <mergeCell ref="A3:J3"/>
    <mergeCell ref="A4:J4"/>
    <mergeCell ref="A5:A6"/>
    <mergeCell ref="B5:B6"/>
    <mergeCell ref="C5:D6"/>
    <mergeCell ref="E5:E6"/>
    <mergeCell ref="F5:F6"/>
    <mergeCell ref="G5:G6"/>
    <mergeCell ref="H5:H6"/>
    <mergeCell ref="I5:I6"/>
    <mergeCell ref="J5:J6"/>
  </mergeCells>
  <pageMargins left="0.7" right="0.7" top="0.75" bottom="0.75" header="0.51180555555555496" footer="0.51180555555555496"/>
  <pageSetup paperSize="9" scale="6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Обоснование выбора метода НМЦК</vt:lpstr>
      <vt:lpstr>Расчет НМЦК_24 ч_КТРУ 003</vt:lpstr>
      <vt:lpstr>Расчет НМЦК_сумма</vt:lpstr>
      <vt:lpstr>расчет за человеко-час</vt:lpstr>
      <vt:lpstr>'Расчет НМЦК_24 ч_КТРУ 003'!Область_печати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Капкаев О.Ф.</dc:creator>
  <cp:lastModifiedBy>Макарова Екатерина Викторовна</cp:lastModifiedBy>
  <cp:revision>0</cp:revision>
  <cp:lastPrinted>2022-03-30T12:22:24Z</cp:lastPrinted>
  <dcterms:created xsi:type="dcterms:W3CDTF">2021-05-21T09:17:21Z</dcterms:created>
  <dcterms:modified xsi:type="dcterms:W3CDTF">2025-07-02T06:38:05Z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